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065" yWindow="0" windowWidth="12120" windowHeight="9120" tabRatio="616"/>
  </bookViews>
  <sheets>
    <sheet name="Budget Calculator Spreadsheet" sheetId="2" r:id="rId1"/>
    <sheet name="More" sheetId="3" r:id="rId2"/>
  </sheets>
  <definedNames>
    <definedName name="Income">'Budget Calculator Spreadsheet'!$O$14</definedName>
    <definedName name="IT">'Budget Calculator Spreadsheet'!$O$39</definedName>
    <definedName name="ITips">'Budget Calculator Spreadsheet'!$O$39</definedName>
    <definedName name="_xlnm.Print_Area" localSheetId="0">'Budget Calculator Spreadsheet'!$O$1:$AI$240</definedName>
    <definedName name="_xlnm.Print_Area" localSheetId="1">More!$A$1:$L$88</definedName>
  </definedNames>
  <calcPr calcId="145621"/>
</workbook>
</file>

<file path=xl/calcChain.xml><?xml version="1.0" encoding="utf-8"?>
<calcChain xmlns="http://schemas.openxmlformats.org/spreadsheetml/2006/main">
  <c r="A7" i="3" l="1"/>
  <c r="X16" i="2" l="1"/>
  <c r="X27" i="2"/>
  <c r="I6" i="2" l="1"/>
  <c r="AA57" i="2" l="1"/>
  <c r="AA29" i="2"/>
  <c r="E32" i="2"/>
  <c r="A32" i="2"/>
  <c r="C32" i="2"/>
  <c r="H43" i="2"/>
  <c r="C36" i="2"/>
  <c r="C37" i="2"/>
  <c r="C38" i="2"/>
  <c r="O29" i="2"/>
  <c r="T36" i="2"/>
  <c r="K25" i="2" s="1"/>
  <c r="M35" i="2"/>
  <c r="M23" i="2"/>
  <c r="M30" i="2"/>
  <c r="M31" i="2"/>
  <c r="M32" i="2"/>
  <c r="M33" i="2"/>
  <c r="M34" i="2"/>
  <c r="AA27" i="2" l="1"/>
  <c r="AA28" i="2"/>
  <c r="J25" i="2"/>
  <c r="R25" i="2" s="1"/>
  <c r="J26" i="2"/>
  <c r="R26" i="2" s="1"/>
  <c r="K26" i="2"/>
  <c r="M36" i="2"/>
  <c r="D270" i="2"/>
  <c r="C270" i="2"/>
  <c r="O152" i="2"/>
  <c r="X26" i="2" l="1"/>
  <c r="Z159" i="2"/>
  <c r="Z158" i="2"/>
  <c r="Z157" i="2"/>
  <c r="Z147" i="2"/>
  <c r="Z146" i="2"/>
  <c r="L25" i="2"/>
  <c r="T25" i="2" s="1"/>
  <c r="A33" i="2" s="1"/>
  <c r="L26" i="2"/>
  <c r="J27" i="2"/>
  <c r="R27" i="2" s="1"/>
  <c r="X25" i="2" l="1"/>
  <c r="E38" i="2"/>
  <c r="F38" i="2" s="1"/>
  <c r="E37" i="2"/>
  <c r="E36" i="2"/>
  <c r="F36" i="2"/>
  <c r="D36" i="2"/>
  <c r="G36" i="2" s="1"/>
  <c r="T26" i="2"/>
  <c r="C33" i="2" s="1"/>
  <c r="K27" i="2"/>
  <c r="W36" i="2"/>
  <c r="J28" i="2"/>
  <c r="Z154" i="2"/>
  <c r="M112" i="2"/>
  <c r="M113" i="2"/>
  <c r="M114" i="2"/>
  <c r="M115" i="2"/>
  <c r="M116" i="2"/>
  <c r="M117" i="2"/>
  <c r="M118" i="2"/>
  <c r="M119" i="2"/>
  <c r="M120" i="2"/>
  <c r="M121" i="2"/>
  <c r="M122" i="2"/>
  <c r="M123" i="2"/>
  <c r="L27" i="2" l="1"/>
  <c r="T27" i="2" s="1"/>
  <c r="E33" i="2" s="1"/>
  <c r="K28" i="2"/>
  <c r="H26" i="2"/>
  <c r="V36" i="2"/>
  <c r="F37" i="2"/>
  <c r="D37" i="2"/>
  <c r="G37" i="2" s="1"/>
  <c r="M48" i="2"/>
  <c r="M49" i="2"/>
  <c r="M50" i="2"/>
  <c r="M51" i="2"/>
  <c r="M52" i="2"/>
  <c r="M53" i="2"/>
  <c r="M54" i="2"/>
  <c r="M42" i="2"/>
  <c r="M43" i="2"/>
  <c r="M26" i="2" l="1"/>
  <c r="N26" i="2"/>
  <c r="C3" i="2"/>
  <c r="C2" i="2"/>
  <c r="AA120" i="2"/>
  <c r="AA119" i="2"/>
  <c r="O211" i="2"/>
  <c r="H85" i="2"/>
  <c r="O239" i="2"/>
  <c r="O215" i="2"/>
  <c r="N4" i="2" l="1"/>
  <c r="D3" i="2" l="1"/>
  <c r="D2" i="2"/>
  <c r="B263" i="2"/>
  <c r="N6" i="2"/>
  <c r="O23" i="2"/>
  <c r="D38" i="2" l="1"/>
  <c r="N20" i="2"/>
  <c r="I9" i="2"/>
  <c r="I15" i="2"/>
  <c r="I3" i="2"/>
  <c r="I5" i="2"/>
  <c r="I17" i="2"/>
  <c r="I20" i="2"/>
  <c r="I21" i="2"/>
  <c r="I2" i="2"/>
  <c r="C61" i="2"/>
  <c r="E61" i="2" s="1"/>
  <c r="A39" i="2" l="1"/>
  <c r="A40" i="2"/>
  <c r="A41" i="2"/>
  <c r="B39" i="2"/>
  <c r="G38" i="2"/>
  <c r="B41" i="2" l="1"/>
  <c r="C41" i="2" s="1"/>
  <c r="B40" i="2"/>
  <c r="F39" i="2"/>
  <c r="F41" i="2"/>
  <c r="D41" i="2"/>
  <c r="E41" i="2"/>
  <c r="H41" i="2" s="1"/>
  <c r="G41" i="2"/>
  <c r="E40" i="2"/>
  <c r="H40" i="2" s="1"/>
  <c r="F40" i="2"/>
  <c r="C40" i="2"/>
  <c r="D40" i="2"/>
  <c r="G40" i="2" s="1"/>
  <c r="D39" i="2"/>
  <c r="G39" i="2" s="1"/>
  <c r="E39" i="2"/>
  <c r="H39" i="2" s="1"/>
  <c r="C39" i="2"/>
  <c r="B42" i="2"/>
  <c r="B43" i="2"/>
  <c r="B44" i="2"/>
  <c r="C44" i="2" s="1"/>
  <c r="E44" i="2" s="1"/>
  <c r="C17" i="2"/>
  <c r="E17" i="2" s="1"/>
  <c r="C18" i="2"/>
  <c r="E18" i="2" s="1"/>
  <c r="C19" i="2"/>
  <c r="E19" i="2" s="1"/>
  <c r="C21" i="2"/>
  <c r="E21" i="2" s="1"/>
  <c r="C23" i="2"/>
  <c r="E23" i="2" s="1"/>
  <c r="C42" i="2"/>
  <c r="E42" i="2" s="1"/>
  <c r="C43" i="2"/>
  <c r="E43" i="2" s="1"/>
  <c r="C45" i="2"/>
  <c r="E45" i="2" s="1"/>
  <c r="C46" i="2"/>
  <c r="E46" i="2" s="1"/>
  <c r="C47" i="2"/>
  <c r="E47" i="2" s="1"/>
  <c r="C48" i="2"/>
  <c r="E48" i="2" s="1"/>
  <c r="C49" i="2"/>
  <c r="E49" i="2" s="1"/>
  <c r="C51" i="2"/>
  <c r="E51" i="2" s="1"/>
  <c r="C52" i="2"/>
  <c r="E52" i="2" s="1"/>
  <c r="C54" i="2"/>
  <c r="E54" i="2" s="1"/>
  <c r="C55" i="2"/>
  <c r="E55" i="2" s="1"/>
  <c r="C56" i="2"/>
  <c r="E56" i="2" s="1"/>
  <c r="C63" i="2"/>
  <c r="E63" i="2" s="1"/>
  <c r="C64" i="2"/>
  <c r="E64" i="2" s="1"/>
  <c r="C65" i="2"/>
  <c r="E65" i="2" s="1"/>
  <c r="C66" i="2"/>
  <c r="E66" i="2" s="1"/>
  <c r="C68" i="2"/>
  <c r="E68" i="2" s="1"/>
  <c r="C69" i="2"/>
  <c r="E69" i="2" s="1"/>
  <c r="C76" i="2"/>
  <c r="E76" i="2" s="1"/>
  <c r="C77" i="2"/>
  <c r="E77" i="2" s="1"/>
  <c r="C79" i="2"/>
  <c r="E79" i="2" s="1"/>
  <c r="C80" i="2"/>
  <c r="E80" i="2" s="1"/>
  <c r="C85" i="2"/>
  <c r="E85" i="2" s="1"/>
  <c r="C86" i="2"/>
  <c r="E86" i="2" s="1"/>
  <c r="C87" i="2"/>
  <c r="E87" i="2" s="1"/>
  <c r="C90" i="2"/>
  <c r="E90" i="2" s="1"/>
  <c r="C92" i="2"/>
  <c r="E92" i="2" s="1"/>
  <c r="C94" i="2"/>
  <c r="E94" i="2" s="1"/>
  <c r="C95" i="2"/>
  <c r="E95" i="2" s="1"/>
  <c r="C102" i="2"/>
  <c r="E102" i="2" s="1"/>
  <c r="C103" i="2"/>
  <c r="E103" i="2" s="1"/>
  <c r="C104" i="2"/>
  <c r="E104" i="2" s="1"/>
  <c r="C107" i="2"/>
  <c r="E107" i="2" s="1"/>
  <c r="C113" i="2"/>
  <c r="E113" i="2" s="1"/>
  <c r="C115" i="2"/>
  <c r="E115" i="2" s="1"/>
  <c r="C119" i="2"/>
  <c r="E119" i="2" s="1"/>
  <c r="C120" i="2"/>
  <c r="E120" i="2" s="1"/>
  <c r="C122" i="2"/>
  <c r="E122" i="2" s="1"/>
  <c r="C123" i="2"/>
  <c r="E123" i="2" s="1"/>
  <c r="C124" i="2"/>
  <c r="E124" i="2" s="1"/>
  <c r="C125" i="2"/>
  <c r="E125" i="2" s="1"/>
  <c r="C126" i="2"/>
  <c r="E126" i="2" s="1"/>
  <c r="C127" i="2"/>
  <c r="E127" i="2" s="1"/>
  <c r="C143" i="2"/>
  <c r="E143" i="2" s="1"/>
  <c r="C144" i="2"/>
  <c r="E144" i="2" s="1"/>
  <c r="C145" i="2"/>
  <c r="E145" i="2" s="1"/>
  <c r="C146" i="2"/>
  <c r="E146" i="2" s="1"/>
  <c r="C147" i="2"/>
  <c r="E147" i="2" s="1"/>
  <c r="C148" i="2"/>
  <c r="E148" i="2" s="1"/>
  <c r="C149" i="2"/>
  <c r="E149" i="2" s="1"/>
  <c r="C150" i="2"/>
  <c r="E150" i="2" s="1"/>
  <c r="C151" i="2"/>
  <c r="E151" i="2" s="1"/>
  <c r="C153" i="2"/>
  <c r="E153" i="2" s="1"/>
  <c r="C154" i="2"/>
  <c r="E154" i="2" s="1"/>
  <c r="C155" i="2"/>
  <c r="E155" i="2" s="1"/>
  <c r="C157" i="2"/>
  <c r="E157" i="2" s="1"/>
  <c r="C159" i="2"/>
  <c r="E159" i="2" s="1"/>
  <c r="C161" i="2"/>
  <c r="E161" i="2" s="1"/>
  <c r="C162" i="2"/>
  <c r="E162" i="2" s="1"/>
  <c r="C163" i="2"/>
  <c r="E163" i="2" s="1"/>
  <c r="C164" i="2"/>
  <c r="E164" i="2" s="1"/>
  <c r="C166" i="2"/>
  <c r="E166" i="2" s="1"/>
  <c r="C167" i="2"/>
  <c r="E167" i="2" s="1"/>
  <c r="C168" i="2"/>
  <c r="E168" i="2" s="1"/>
  <c r="C169" i="2"/>
  <c r="E169" i="2" s="1"/>
  <c r="C170" i="2"/>
  <c r="E170" i="2" s="1"/>
  <c r="C171" i="2"/>
  <c r="E171" i="2" s="1"/>
  <c r="C177" i="2"/>
  <c r="E177" i="2" s="1"/>
  <c r="C178" i="2"/>
  <c r="E178" i="2" s="1"/>
  <c r="C179" i="2"/>
  <c r="E179" i="2" s="1"/>
  <c r="C180" i="2"/>
  <c r="E180" i="2" s="1"/>
  <c r="C181" i="2"/>
  <c r="E181" i="2" s="1"/>
  <c r="C182" i="2"/>
  <c r="E182" i="2" s="1"/>
  <c r="C183" i="2"/>
  <c r="E183" i="2" s="1"/>
  <c r="C188" i="2"/>
  <c r="E188" i="2" s="1"/>
  <c r="C189" i="2"/>
  <c r="E189" i="2" s="1"/>
  <c r="C190" i="2"/>
  <c r="E190" i="2" s="1"/>
  <c r="C191" i="2"/>
  <c r="E191" i="2" s="1"/>
  <c r="C192" i="2"/>
  <c r="E192" i="2" s="1"/>
  <c r="C193" i="2"/>
  <c r="E193" i="2" s="1"/>
  <c r="C194" i="2"/>
  <c r="E194" i="2" s="1"/>
  <c r="C195" i="2"/>
  <c r="E195" i="2" s="1"/>
  <c r="C196" i="2"/>
  <c r="E196" i="2" s="1"/>
  <c r="C197" i="2"/>
  <c r="E197" i="2" s="1"/>
  <c r="C198" i="2"/>
  <c r="E198" i="2" s="1"/>
  <c r="C199" i="2"/>
  <c r="E199" i="2" s="1"/>
  <c r="C200" i="2"/>
  <c r="E200" i="2" s="1"/>
  <c r="C201" i="2"/>
  <c r="E201" i="2" s="1"/>
  <c r="C202" i="2"/>
  <c r="E202" i="2" s="1"/>
  <c r="B202" i="2"/>
  <c r="B17" i="2"/>
  <c r="B18" i="2"/>
  <c r="B19" i="2"/>
  <c r="B20" i="2"/>
  <c r="C20" i="2" s="1"/>
  <c r="E20" i="2" s="1"/>
  <c r="B21" i="2"/>
  <c r="B22" i="2"/>
  <c r="C22" i="2" s="1"/>
  <c r="E22" i="2" s="1"/>
  <c r="B23" i="2"/>
  <c r="B45" i="2"/>
  <c r="B46" i="2"/>
  <c r="B47" i="2"/>
  <c r="B48" i="2"/>
  <c r="B49" i="2"/>
  <c r="B50" i="2"/>
  <c r="C50" i="2" s="1"/>
  <c r="E50" i="2" s="1"/>
  <c r="B51" i="2"/>
  <c r="B52" i="2"/>
  <c r="B53" i="2"/>
  <c r="C53" i="2" s="1"/>
  <c r="E53" i="2" s="1"/>
  <c r="B54" i="2"/>
  <c r="B55" i="2"/>
  <c r="B56" i="2"/>
  <c r="B61" i="2"/>
  <c r="B62" i="2"/>
  <c r="C62" i="2" s="1"/>
  <c r="E62" i="2" s="1"/>
  <c r="B63" i="2"/>
  <c r="B64" i="2"/>
  <c r="B65" i="2"/>
  <c r="B66" i="2"/>
  <c r="B67" i="2"/>
  <c r="C67" i="2" s="1"/>
  <c r="E67" i="2" s="1"/>
  <c r="B68" i="2"/>
  <c r="B69" i="2"/>
  <c r="B75" i="2"/>
  <c r="C75" i="2" s="1"/>
  <c r="E75" i="2" s="1"/>
  <c r="B76" i="2"/>
  <c r="B77" i="2"/>
  <c r="B78" i="2"/>
  <c r="C78" i="2" s="1"/>
  <c r="E78" i="2" s="1"/>
  <c r="B79" i="2"/>
  <c r="B80" i="2"/>
  <c r="B85" i="2"/>
  <c r="B86" i="2"/>
  <c r="B87" i="2"/>
  <c r="B88" i="2"/>
  <c r="C88" i="2" s="1"/>
  <c r="E88" i="2" s="1"/>
  <c r="B89" i="2"/>
  <c r="C89" i="2" s="1"/>
  <c r="E89" i="2" s="1"/>
  <c r="B90" i="2"/>
  <c r="B91" i="2"/>
  <c r="C91" i="2" s="1"/>
  <c r="E91" i="2" s="1"/>
  <c r="B92" i="2"/>
  <c r="B93" i="2"/>
  <c r="C93" i="2" s="1"/>
  <c r="E93" i="2" s="1"/>
  <c r="B94" i="2"/>
  <c r="B95" i="2"/>
  <c r="B100" i="2"/>
  <c r="C100" i="2" s="1"/>
  <c r="E100" i="2" s="1"/>
  <c r="B101" i="2"/>
  <c r="C101" i="2" s="1"/>
  <c r="E101" i="2" s="1"/>
  <c r="B102" i="2"/>
  <c r="B103" i="2"/>
  <c r="B104" i="2"/>
  <c r="B105" i="2"/>
  <c r="C105" i="2" s="1"/>
  <c r="E105" i="2" s="1"/>
  <c r="B106" i="2"/>
  <c r="C106" i="2" s="1"/>
  <c r="E106" i="2" s="1"/>
  <c r="B107" i="2"/>
  <c r="B113" i="2"/>
  <c r="B114" i="2"/>
  <c r="C114" i="2" s="1"/>
  <c r="E114" i="2" s="1"/>
  <c r="B115" i="2"/>
  <c r="B116" i="2"/>
  <c r="C116" i="2" s="1"/>
  <c r="E116" i="2" s="1"/>
  <c r="B117" i="2"/>
  <c r="C117" i="2" s="1"/>
  <c r="E117" i="2" s="1"/>
  <c r="B118" i="2"/>
  <c r="C118" i="2" s="1"/>
  <c r="E118" i="2" s="1"/>
  <c r="B119" i="2"/>
  <c r="B120" i="2"/>
  <c r="B122" i="2"/>
  <c r="B123" i="2"/>
  <c r="B124" i="2"/>
  <c r="B125" i="2"/>
  <c r="B126" i="2"/>
  <c r="B127" i="2"/>
  <c r="B134" i="2"/>
  <c r="C134" i="2" s="1"/>
  <c r="E134" i="2" s="1"/>
  <c r="B135" i="2"/>
  <c r="C135" i="2" s="1"/>
  <c r="B136" i="2"/>
  <c r="C136" i="2" s="1"/>
  <c r="E136" i="2" s="1"/>
  <c r="B137" i="2"/>
  <c r="C137" i="2" s="1"/>
  <c r="E137" i="2" s="1"/>
  <c r="B138" i="2"/>
  <c r="C138" i="2" s="1"/>
  <c r="E138" i="2" s="1"/>
  <c r="B139" i="2"/>
  <c r="C139" i="2" s="1"/>
  <c r="E139" i="2" s="1"/>
  <c r="B141" i="2"/>
  <c r="C141" i="2" s="1"/>
  <c r="E141" i="2" s="1"/>
  <c r="B142" i="2"/>
  <c r="C142" i="2" s="1"/>
  <c r="E142" i="2" s="1"/>
  <c r="B143" i="2"/>
  <c r="B144" i="2"/>
  <c r="B145" i="2"/>
  <c r="B146" i="2"/>
  <c r="B147" i="2"/>
  <c r="B148" i="2"/>
  <c r="B149" i="2"/>
  <c r="B150" i="2"/>
  <c r="B151" i="2"/>
  <c r="B152" i="2"/>
  <c r="C152" i="2" s="1"/>
  <c r="B153" i="2"/>
  <c r="B154" i="2"/>
  <c r="B155" i="2"/>
  <c r="B156" i="2"/>
  <c r="C156" i="2" s="1"/>
  <c r="E156" i="2" s="1"/>
  <c r="B157" i="2"/>
  <c r="B158" i="2"/>
  <c r="C158" i="2" s="1"/>
  <c r="E158" i="2" s="1"/>
  <c r="B159" i="2"/>
  <c r="B160" i="2"/>
  <c r="C160" i="2" s="1"/>
  <c r="E160" i="2" s="1"/>
  <c r="B161" i="2"/>
  <c r="B162" i="2"/>
  <c r="B163" i="2"/>
  <c r="B164" i="2"/>
  <c r="B166" i="2"/>
  <c r="B167" i="2"/>
  <c r="B168" i="2"/>
  <c r="B169" i="2"/>
  <c r="B170" i="2"/>
  <c r="B171" i="2"/>
  <c r="B177" i="2"/>
  <c r="B178" i="2"/>
  <c r="B179" i="2"/>
  <c r="B180" i="2"/>
  <c r="B181" i="2"/>
  <c r="B182" i="2"/>
  <c r="B183" i="2"/>
  <c r="B188" i="2"/>
  <c r="B189" i="2"/>
  <c r="B190" i="2"/>
  <c r="B191" i="2"/>
  <c r="B192" i="2"/>
  <c r="B193" i="2"/>
  <c r="B194" i="2"/>
  <c r="B195" i="2"/>
  <c r="B196" i="2"/>
  <c r="B197" i="2"/>
  <c r="B198" i="2"/>
  <c r="B199" i="2"/>
  <c r="B200" i="2"/>
  <c r="B201" i="2"/>
  <c r="B16" i="2"/>
  <c r="I174" i="2"/>
  <c r="I173" i="2"/>
  <c r="I172" i="2"/>
  <c r="I171" i="2"/>
  <c r="I136" i="2"/>
  <c r="I135" i="2"/>
  <c r="I100" i="2"/>
  <c r="I99" i="2"/>
  <c r="I98" i="2"/>
  <c r="I97" i="2"/>
  <c r="I87" i="2"/>
  <c r="I86" i="2"/>
  <c r="I84" i="2"/>
  <c r="I83" i="2"/>
  <c r="I57" i="2"/>
  <c r="I56" i="2"/>
  <c r="I18" i="2"/>
  <c r="I16" i="2"/>
  <c r="I14" i="2"/>
  <c r="I4" i="2"/>
  <c r="AA54" i="2"/>
  <c r="N135" i="2"/>
  <c r="N136" i="2"/>
  <c r="N137" i="2"/>
  <c r="N138" i="2"/>
  <c r="N139" i="2"/>
  <c r="N141" i="2"/>
  <c r="N142" i="2"/>
  <c r="N143" i="2"/>
  <c r="N144" i="2"/>
  <c r="N145" i="2"/>
  <c r="N146" i="2"/>
  <c r="N147" i="2"/>
  <c r="N148" i="2"/>
  <c r="N149" i="2"/>
  <c r="N150" i="2"/>
  <c r="N151" i="2"/>
  <c r="N152" i="2"/>
  <c r="N153" i="2"/>
  <c r="N154" i="2"/>
  <c r="N155" i="2"/>
  <c r="N156" i="2"/>
  <c r="N157" i="2"/>
  <c r="N158" i="2"/>
  <c r="N159" i="2"/>
  <c r="N160" i="2"/>
  <c r="N161" i="2"/>
  <c r="N162" i="2"/>
  <c r="N163" i="2"/>
  <c r="N164" i="2"/>
  <c r="N166" i="2"/>
  <c r="N167" i="2"/>
  <c r="N168" i="2"/>
  <c r="N169" i="2"/>
  <c r="N170" i="2"/>
  <c r="N171" i="2"/>
  <c r="N134" i="2"/>
  <c r="N50" i="2"/>
  <c r="H86" i="2"/>
  <c r="H87" i="2"/>
  <c r="H88" i="2"/>
  <c r="H89" i="2"/>
  <c r="H90" i="2"/>
  <c r="G90" i="2" s="1"/>
  <c r="H91" i="2"/>
  <c r="G91" i="2" s="1"/>
  <c r="H92" i="2"/>
  <c r="G92" i="2" s="1"/>
  <c r="H93" i="2"/>
  <c r="G93" i="2" s="1"/>
  <c r="H94" i="2"/>
  <c r="H95" i="2"/>
  <c r="G86" i="2"/>
  <c r="G87" i="2"/>
  <c r="G88" i="2"/>
  <c r="G89" i="2"/>
  <c r="G94" i="2"/>
  <c r="G95" i="2"/>
  <c r="G85" i="2"/>
  <c r="L61" i="2"/>
  <c r="K61" i="2" s="1"/>
  <c r="I88" i="2"/>
  <c r="I85" i="2"/>
  <c r="H244" i="2"/>
  <c r="H42" i="2" l="1"/>
  <c r="C16" i="2"/>
  <c r="E16" i="2" s="1"/>
  <c r="E135" i="2"/>
  <c r="E152" i="2"/>
  <c r="A152" i="2"/>
  <c r="G96" i="2"/>
  <c r="N349" i="2" s="1"/>
  <c r="G349" i="2" s="1"/>
  <c r="N42" i="2"/>
  <c r="N65" i="2"/>
  <c r="N62" i="2"/>
  <c r="N63" i="2"/>
  <c r="N64" i="2"/>
  <c r="N66" i="2"/>
  <c r="N67" i="2"/>
  <c r="N68" i="2"/>
  <c r="N69" i="2"/>
  <c r="N61" i="2"/>
  <c r="N76" i="2"/>
  <c r="N77" i="2"/>
  <c r="N78" i="2"/>
  <c r="N79" i="2"/>
  <c r="N80" i="2"/>
  <c r="N75" i="2"/>
  <c r="N86" i="2"/>
  <c r="N87" i="2"/>
  <c r="N88" i="2"/>
  <c r="N89" i="2"/>
  <c r="N90" i="2"/>
  <c r="N91" i="2"/>
  <c r="N92" i="2"/>
  <c r="N93" i="2"/>
  <c r="N94" i="2"/>
  <c r="N95" i="2"/>
  <c r="N85" i="2"/>
  <c r="N101" i="2"/>
  <c r="N102" i="2"/>
  <c r="N103" i="2"/>
  <c r="N104" i="2"/>
  <c r="N105" i="2"/>
  <c r="N106" i="2"/>
  <c r="N107" i="2"/>
  <c r="N100" i="2"/>
  <c r="N113" i="2"/>
  <c r="N114" i="2"/>
  <c r="N115" i="2"/>
  <c r="N116" i="2"/>
  <c r="N117" i="2"/>
  <c r="N118" i="2"/>
  <c r="N119" i="2"/>
  <c r="N120" i="2"/>
  <c r="N121" i="2"/>
  <c r="N122" i="2"/>
  <c r="N123" i="2"/>
  <c r="N124" i="2"/>
  <c r="N125" i="2"/>
  <c r="N126" i="2"/>
  <c r="N127" i="2"/>
  <c r="N112" i="2"/>
  <c r="N189" i="2"/>
  <c r="N190" i="2"/>
  <c r="N191" i="2"/>
  <c r="N192" i="2"/>
  <c r="N193" i="2"/>
  <c r="N194" i="2"/>
  <c r="N195" i="2"/>
  <c r="N196" i="2"/>
  <c r="N197" i="2"/>
  <c r="N198" i="2"/>
  <c r="N199" i="2"/>
  <c r="N200" i="2"/>
  <c r="N201" i="2"/>
  <c r="N202" i="2"/>
  <c r="N188" i="2"/>
  <c r="N178" i="2"/>
  <c r="N179" i="2"/>
  <c r="N180" i="2"/>
  <c r="N181" i="2"/>
  <c r="N182" i="2"/>
  <c r="N183" i="2"/>
  <c r="N177" i="2"/>
  <c r="AA53" i="2"/>
  <c r="N54" i="2"/>
  <c r="A2" i="3"/>
  <c r="A1" i="3"/>
  <c r="G1" i="3" s="1"/>
  <c r="T70" i="2" l="1"/>
  <c r="T203" i="2"/>
  <c r="T184" i="2"/>
  <c r="T81" i="2"/>
  <c r="K245" i="2"/>
  <c r="K244" i="2"/>
  <c r="J252" i="2"/>
  <c r="K252" i="2"/>
  <c r="J251" i="2"/>
  <c r="K251" i="2"/>
  <c r="K249" i="2"/>
  <c r="J248" i="2"/>
  <c r="K248" i="2"/>
  <c r="J247" i="2"/>
  <c r="K247" i="2"/>
  <c r="N261" i="2"/>
  <c r="M110" i="2"/>
  <c r="N263" i="2"/>
  <c r="M175" i="2"/>
  <c r="N256" i="2"/>
  <c r="A4" i="3"/>
  <c r="H135" i="2"/>
  <c r="G135" i="2" s="1"/>
  <c r="F135" i="2" s="1"/>
  <c r="H136" i="2"/>
  <c r="G136" i="2" s="1"/>
  <c r="F136" i="2" s="1"/>
  <c r="H137" i="2"/>
  <c r="G137" i="2" s="1"/>
  <c r="F137" i="2" s="1"/>
  <c r="H138" i="2"/>
  <c r="G138" i="2" s="1"/>
  <c r="F138" i="2" s="1"/>
  <c r="H139" i="2"/>
  <c r="G139" i="2" s="1"/>
  <c r="F139" i="2" s="1"/>
  <c r="H134" i="2"/>
  <c r="G134" i="2" s="1"/>
  <c r="N356" i="2"/>
  <c r="G356" i="2" s="1"/>
  <c r="N359" i="2"/>
  <c r="G359" i="2" s="1"/>
  <c r="N354" i="2"/>
  <c r="G354" i="2" s="1"/>
  <c r="H62" i="2"/>
  <c r="H63" i="2"/>
  <c r="H64" i="2"/>
  <c r="H65" i="2"/>
  <c r="H66" i="2"/>
  <c r="H67" i="2"/>
  <c r="H68" i="2"/>
  <c r="H69" i="2"/>
  <c r="H61" i="2"/>
  <c r="J61" i="2"/>
  <c r="L65" i="2"/>
  <c r="K65" i="2" s="1"/>
  <c r="J65" i="2" s="1"/>
  <c r="L62" i="2"/>
  <c r="L63" i="2"/>
  <c r="K63" i="2" s="1"/>
  <c r="J63" i="2" s="1"/>
  <c r="L64" i="2"/>
  <c r="K64" i="2" s="1"/>
  <c r="J64" i="2" s="1"/>
  <c r="L66" i="2"/>
  <c r="K66" i="2" s="1"/>
  <c r="J66" i="2" s="1"/>
  <c r="L67" i="2"/>
  <c r="K67" i="2" s="1"/>
  <c r="J67" i="2" s="1"/>
  <c r="L68" i="2"/>
  <c r="K68" i="2" s="1"/>
  <c r="J68" i="2" s="1"/>
  <c r="L69" i="2"/>
  <c r="K69" i="2" s="1"/>
  <c r="J69" i="2" s="1"/>
  <c r="I321" i="2"/>
  <c r="I322" i="2"/>
  <c r="I333" i="2"/>
  <c r="I334" i="2"/>
  <c r="I320" i="2"/>
  <c r="M40" i="2"/>
  <c r="O264" i="2"/>
  <c r="B264" i="2" s="1"/>
  <c r="O262" i="2"/>
  <c r="B262" i="2" s="1"/>
  <c r="O261" i="2"/>
  <c r="B261" i="2" s="1"/>
  <c r="O260" i="2"/>
  <c r="B260" i="2" s="1"/>
  <c r="O259" i="2"/>
  <c r="B259" i="2" s="1"/>
  <c r="O258" i="2"/>
  <c r="B258" i="2" s="1"/>
  <c r="O257" i="2"/>
  <c r="B257" i="2" s="1"/>
  <c r="O256" i="2"/>
  <c r="B256" i="2" s="1"/>
  <c r="I332" i="2"/>
  <c r="I331" i="2"/>
  <c r="I319" i="2"/>
  <c r="I330" i="2"/>
  <c r="I318" i="2"/>
  <c r="I329" i="2"/>
  <c r="I317" i="2"/>
  <c r="I328" i="2"/>
  <c r="I316" i="2"/>
  <c r="I327" i="2"/>
  <c r="I315" i="2"/>
  <c r="I326" i="2"/>
  <c r="I314" i="2"/>
  <c r="N17" i="2"/>
  <c r="N18" i="2"/>
  <c r="N19" i="2"/>
  <c r="N21" i="2"/>
  <c r="N22" i="2"/>
  <c r="N23" i="2"/>
  <c r="N16" i="2"/>
  <c r="M139" i="2"/>
  <c r="M171" i="2"/>
  <c r="N364" i="2"/>
  <c r="G364" i="2" s="1"/>
  <c r="N368" i="2"/>
  <c r="G368" i="2" s="1"/>
  <c r="N369" i="2"/>
  <c r="G369" i="2" s="1"/>
  <c r="N366" i="2"/>
  <c r="G366" i="2" s="1"/>
  <c r="N370" i="2"/>
  <c r="G370" i="2" s="1"/>
  <c r="L169" i="2"/>
  <c r="N371" i="2" s="1"/>
  <c r="G371" i="2" s="1"/>
  <c r="N358" i="2"/>
  <c r="G358" i="2" s="1"/>
  <c r="M134" i="2"/>
  <c r="M135" i="2"/>
  <c r="M136" i="2"/>
  <c r="M137" i="2"/>
  <c r="M138" i="2"/>
  <c r="M141" i="2"/>
  <c r="M142" i="2"/>
  <c r="M143" i="2"/>
  <c r="M144" i="2"/>
  <c r="M145" i="2"/>
  <c r="M146" i="2"/>
  <c r="M163" i="2"/>
  <c r="M164" i="2"/>
  <c r="M101" i="2"/>
  <c r="M102" i="2"/>
  <c r="M103" i="2"/>
  <c r="M104" i="2"/>
  <c r="M105" i="2"/>
  <c r="M106" i="2"/>
  <c r="M107" i="2"/>
  <c r="M100" i="2"/>
  <c r="T108" i="2"/>
  <c r="N43" i="2"/>
  <c r="N44" i="2"/>
  <c r="N45" i="2"/>
  <c r="N47" i="2"/>
  <c r="N48" i="2"/>
  <c r="N49" i="2"/>
  <c r="N53" i="2"/>
  <c r="N55" i="2"/>
  <c r="N56" i="2"/>
  <c r="N51" i="2"/>
  <c r="AC21" i="2" l="1"/>
  <c r="AC20" i="2"/>
  <c r="AB21" i="2"/>
  <c r="AB20" i="2"/>
  <c r="AA16" i="2"/>
  <c r="AA15" i="2"/>
  <c r="X200" i="2"/>
  <c r="X199" i="2"/>
  <c r="X198" i="2"/>
  <c r="X197" i="2"/>
  <c r="X196" i="2"/>
  <c r="X195" i="2"/>
  <c r="X194" i="2"/>
  <c r="G140" i="2"/>
  <c r="F134" i="2"/>
  <c r="F140" i="2" s="1"/>
  <c r="L138" i="2"/>
  <c r="H70" i="2"/>
  <c r="N345" i="2" s="1"/>
  <c r="K62" i="2"/>
  <c r="J62" i="2" s="1"/>
  <c r="J70" i="2" s="1"/>
  <c r="T172" i="2"/>
  <c r="M69" i="2"/>
  <c r="J335" i="2"/>
  <c r="M182" i="2"/>
  <c r="M183" i="2"/>
  <c r="T96" i="2"/>
  <c r="M87" i="2"/>
  <c r="M88" i="2"/>
  <c r="M89" i="2"/>
  <c r="M90" i="2"/>
  <c r="M91" i="2"/>
  <c r="M92" i="2"/>
  <c r="M93" i="2"/>
  <c r="M94" i="2"/>
  <c r="M95" i="2"/>
  <c r="M86" i="2"/>
  <c r="N10" i="2"/>
  <c r="N11" i="2"/>
  <c r="M188" i="2"/>
  <c r="M189" i="2"/>
  <c r="M190" i="2"/>
  <c r="M191" i="2"/>
  <c r="M192" i="2"/>
  <c r="M193" i="2"/>
  <c r="M194" i="2"/>
  <c r="M195" i="2"/>
  <c r="M196" i="2"/>
  <c r="M197" i="2"/>
  <c r="M198" i="2"/>
  <c r="M199" i="2"/>
  <c r="M200" i="2"/>
  <c r="M201" i="2"/>
  <c r="M202" i="2"/>
  <c r="M178" i="2"/>
  <c r="M179" i="2"/>
  <c r="M180" i="2"/>
  <c r="M181" i="2"/>
  <c r="M177" i="2"/>
  <c r="M147" i="2"/>
  <c r="M148" i="2"/>
  <c r="M149" i="2"/>
  <c r="M150" i="2"/>
  <c r="M151" i="2"/>
  <c r="M152" i="2"/>
  <c r="M153" i="2"/>
  <c r="M154" i="2"/>
  <c r="M155" i="2"/>
  <c r="M156" i="2"/>
  <c r="M157" i="2"/>
  <c r="M158" i="2"/>
  <c r="M159" i="2"/>
  <c r="M160" i="2"/>
  <c r="M161" i="2"/>
  <c r="M162" i="2"/>
  <c r="M166" i="2"/>
  <c r="M167" i="2"/>
  <c r="M168" i="2"/>
  <c r="M169" i="2"/>
  <c r="M170" i="2"/>
  <c r="N375" i="2"/>
  <c r="G375" i="2" s="1"/>
  <c r="M124" i="2"/>
  <c r="M125" i="2"/>
  <c r="M126" i="2"/>
  <c r="M127" i="2"/>
  <c r="M108" i="2"/>
  <c r="M65" i="2"/>
  <c r="M64" i="2"/>
  <c r="I7" i="2"/>
  <c r="I8" i="2"/>
  <c r="I10" i="2"/>
  <c r="I11" i="2"/>
  <c r="I12" i="2"/>
  <c r="I13" i="2"/>
  <c r="O6" i="2"/>
  <c r="M17" i="2"/>
  <c r="M18" i="2"/>
  <c r="M19" i="2"/>
  <c r="M20" i="2"/>
  <c r="M21" i="2"/>
  <c r="M22" i="2"/>
  <c r="M16" i="2"/>
  <c r="M56" i="2"/>
  <c r="M44" i="2"/>
  <c r="M45" i="2"/>
  <c r="M46" i="2"/>
  <c r="M47" i="2"/>
  <c r="M55" i="2"/>
  <c r="M62" i="2"/>
  <c r="M63" i="2"/>
  <c r="M66" i="2"/>
  <c r="M67" i="2"/>
  <c r="M68" i="2"/>
  <c r="M61" i="2"/>
  <c r="M76" i="2"/>
  <c r="M77" i="2"/>
  <c r="M78" i="2"/>
  <c r="M79" i="2"/>
  <c r="M80" i="2"/>
  <c r="M75" i="2"/>
  <c r="M85" i="2"/>
  <c r="M37" i="2" l="1"/>
  <c r="M184" i="2"/>
  <c r="N363" i="2"/>
  <c r="G363" i="2" s="1"/>
  <c r="M128" i="2"/>
  <c r="L172" i="2"/>
  <c r="M57" i="2"/>
  <c r="N12" i="2"/>
  <c r="X152" i="2"/>
  <c r="X91" i="2"/>
  <c r="X93" i="2"/>
  <c r="M345" i="2"/>
  <c r="G345" i="2"/>
  <c r="L171" i="2"/>
  <c r="N374" i="2"/>
  <c r="G374" i="2" s="1"/>
  <c r="L164" i="2"/>
  <c r="N357" i="2"/>
  <c r="G357" i="2" s="1"/>
  <c r="M172" i="2"/>
  <c r="X100" i="2"/>
  <c r="M70" i="2"/>
  <c r="M203" i="2"/>
  <c r="M96" i="2"/>
  <c r="T128" i="2"/>
  <c r="L96" i="2"/>
  <c r="M81" i="2"/>
  <c r="M205" i="2" l="1"/>
  <c r="AA24" i="2"/>
  <c r="AA23" i="2"/>
  <c r="X89" i="2"/>
  <c r="T10" i="2"/>
  <c r="X192" i="2"/>
  <c r="X190" i="2"/>
  <c r="X188" i="2"/>
  <c r="X193" i="2"/>
  <c r="X191" i="2"/>
  <c r="X189" i="2"/>
  <c r="O185" i="2"/>
  <c r="X101" i="2"/>
  <c r="L108" i="2" s="1"/>
  <c r="X118" i="2"/>
  <c r="X117" i="2"/>
  <c r="X116" i="2"/>
  <c r="X115" i="2"/>
  <c r="X119" i="2"/>
  <c r="X62" i="2"/>
  <c r="X61" i="2"/>
  <c r="X78" i="2"/>
  <c r="X77" i="2"/>
  <c r="X76" i="2"/>
  <c r="X75" i="2"/>
  <c r="O129" i="2"/>
  <c r="O128" i="2"/>
  <c r="W128" i="2"/>
  <c r="O184" i="2"/>
  <c r="W184" i="2"/>
  <c r="O109" i="2"/>
  <c r="X102" i="2"/>
  <c r="X103" i="2"/>
  <c r="X104" i="2"/>
  <c r="X105" i="2"/>
  <c r="N46" i="2"/>
  <c r="N52" i="2"/>
  <c r="O71" i="2"/>
  <c r="X88" i="2"/>
  <c r="X90" i="2"/>
  <c r="X85" i="2"/>
  <c r="X87" i="2"/>
  <c r="W108" i="2"/>
  <c r="O108" i="2"/>
  <c r="O70" i="2"/>
  <c r="W70" i="2"/>
  <c r="AA13" i="2" l="1"/>
  <c r="AA10" i="2"/>
  <c r="AA8" i="2"/>
  <c r="N8" i="2"/>
  <c r="N344" i="2"/>
  <c r="M344" i="2" s="1"/>
  <c r="N348" i="2"/>
  <c r="J132" i="2"/>
  <c r="J131" i="2" s="1"/>
  <c r="T57" i="2"/>
  <c r="I103" i="2" l="1"/>
  <c r="I102" i="2"/>
  <c r="O57" i="2"/>
  <c r="W57" i="2"/>
  <c r="D269" i="2"/>
  <c r="D262" i="2" s="1"/>
  <c r="C269" i="2"/>
  <c r="C262" i="2" s="1"/>
  <c r="W96" i="2"/>
  <c r="O96" i="2"/>
  <c r="C265" i="2" l="1"/>
  <c r="D265" i="2"/>
  <c r="V262" i="2"/>
  <c r="J250" i="2" l="1"/>
  <c r="K250" i="2"/>
  <c r="M130" i="2"/>
  <c r="N262" i="2"/>
  <c r="T205" i="2"/>
  <c r="O203" i="2"/>
  <c r="W203" i="2"/>
  <c r="X17" i="2" l="1"/>
  <c r="X20" i="2"/>
  <c r="X18" i="2"/>
  <c r="X19" i="2"/>
  <c r="N350" i="2"/>
  <c r="O214" i="2"/>
  <c r="I72" i="2"/>
  <c r="N362" i="2"/>
  <c r="G362" i="2" s="1"/>
  <c r="M352" i="2"/>
  <c r="N353" i="2"/>
  <c r="N365" i="2"/>
  <c r="G365" i="2" s="1"/>
  <c r="N367" i="2"/>
  <c r="G367" i="2" s="1"/>
  <c r="N352" i="2"/>
  <c r="G352" i="2" s="1"/>
  <c r="J72" i="2"/>
  <c r="N361" i="2"/>
  <c r="G361" i="2" s="1"/>
  <c r="N346" i="2"/>
  <c r="G348" i="2"/>
  <c r="J74" i="2"/>
  <c r="N347" i="2"/>
  <c r="M347" i="2" l="1"/>
  <c r="G347" i="2"/>
  <c r="G344" i="2"/>
  <c r="M346" i="2"/>
  <c r="G346" i="2"/>
  <c r="M353" i="2"/>
  <c r="G353" i="2"/>
  <c r="M350" i="2"/>
  <c r="G350" i="2"/>
  <c r="N214" i="2" l="1"/>
  <c r="O58" i="2" l="1"/>
  <c r="O97" i="2" l="1"/>
  <c r="L24" i="2"/>
  <c r="H25" i="2" l="1"/>
  <c r="N25" i="2" l="1"/>
  <c r="M25" i="2"/>
  <c r="L28" i="2" l="1"/>
  <c r="H27" i="2"/>
  <c r="H28" i="2" l="1"/>
  <c r="H29" i="2"/>
  <c r="N27" i="2"/>
  <c r="H36" i="2" s="1"/>
  <c r="H37" i="2" s="1"/>
  <c r="H38" i="2" s="1"/>
  <c r="D33" i="2"/>
  <c r="H44" i="2"/>
  <c r="M27" i="2"/>
  <c r="M28" i="2" s="1"/>
  <c r="N28" i="2"/>
  <c r="N37" i="2"/>
  <c r="T37" i="2" s="1"/>
  <c r="O172" i="2" l="1"/>
  <c r="W172" i="2"/>
  <c r="V37" i="2"/>
  <c r="V30" i="2"/>
  <c r="V31" i="2"/>
  <c r="O37" i="2"/>
  <c r="G26" i="2"/>
  <c r="G25" i="2"/>
  <c r="G27" i="2"/>
  <c r="J75" i="2"/>
  <c r="K131" i="2"/>
  <c r="O173" i="2" s="1"/>
  <c r="K73" i="2"/>
  <c r="T38" i="2"/>
  <c r="N59" i="2"/>
  <c r="V172" i="2"/>
  <c r="J73" i="2"/>
  <c r="N99" i="2"/>
  <c r="V96" i="2"/>
  <c r="N131" i="2"/>
  <c r="N186" i="2"/>
  <c r="O206" i="2"/>
  <c r="O81" i="2"/>
  <c r="N73" i="2"/>
  <c r="N174" i="2"/>
  <c r="J130" i="2"/>
  <c r="V184" i="2"/>
  <c r="V70" i="2"/>
  <c r="N83" i="2"/>
  <c r="T206" i="2"/>
  <c r="N72" i="2"/>
  <c r="K334" i="2"/>
  <c r="K327" i="2"/>
  <c r="M187" i="2"/>
  <c r="O204" i="2" s="1"/>
  <c r="L244" i="2"/>
  <c r="K330" i="2"/>
  <c r="L250" i="2"/>
  <c r="N110" i="2"/>
  <c r="O111" i="2" s="1"/>
  <c r="V81" i="2"/>
  <c r="N98" i="2"/>
  <c r="O99" i="2" s="1"/>
  <c r="K84" i="2"/>
  <c r="W205" i="2"/>
  <c r="N175" i="2"/>
  <c r="V203" i="2"/>
  <c r="N84" i="2"/>
  <c r="V108" i="2"/>
  <c r="N130" i="2"/>
  <c r="K41" i="2"/>
  <c r="V57" i="2"/>
  <c r="O60" i="2"/>
  <c r="N187" i="2"/>
  <c r="W1" i="2"/>
  <c r="V128" i="2"/>
  <c r="O38" i="2"/>
  <c r="N40" i="2"/>
  <c r="O41" i="2" s="1"/>
  <c r="V205" i="2"/>
  <c r="I130" i="2"/>
  <c r="O73" i="2"/>
  <c r="Z152" i="2"/>
  <c r="AG152" i="2" s="1"/>
  <c r="I246" i="2"/>
  <c r="F246" i="2" s="1"/>
  <c r="I250" i="2"/>
  <c r="F250" i="2" s="1"/>
  <c r="I251" i="2"/>
  <c r="F251" i="2" s="1"/>
  <c r="I248" i="2"/>
  <c r="F248" i="2" s="1"/>
  <c r="I247" i="2"/>
  <c r="F247" i="2" s="1"/>
  <c r="I245" i="2"/>
  <c r="F245" i="2" s="1"/>
  <c r="K331" i="2"/>
  <c r="K333" i="2"/>
  <c r="K328" i="2"/>
  <c r="L252" i="2"/>
  <c r="L246" i="2"/>
  <c r="L247" i="2"/>
  <c r="T1" i="2"/>
  <c r="O1" i="2" s="1"/>
  <c r="L245" i="2"/>
  <c r="I244" i="2"/>
  <c r="F244" i="2" s="1"/>
  <c r="N372" i="2"/>
  <c r="G372" i="2" s="1"/>
  <c r="N351" i="2"/>
  <c r="G351" i="2" s="1"/>
  <c r="N373" i="2"/>
  <c r="G373" i="2" s="1"/>
  <c r="I249" i="2"/>
  <c r="F249" i="2" s="1"/>
  <c r="I252" i="2"/>
  <c r="F252" i="2" s="1"/>
  <c r="K332" i="2"/>
  <c r="K329" i="2"/>
  <c r="L251" i="2"/>
  <c r="L248" i="2"/>
  <c r="L249" i="2"/>
  <c r="X256" i="2"/>
  <c r="L256" i="2" s="1"/>
  <c r="K256" i="2" s="1"/>
  <c r="E244" i="2" s="1"/>
  <c r="K326" i="2"/>
  <c r="O84" i="2" l="1"/>
  <c r="W81" i="2"/>
  <c r="O82" i="2"/>
  <c r="O131" i="2"/>
  <c r="U1" i="2"/>
  <c r="G24" i="2"/>
  <c r="O187" i="2"/>
  <c r="O175" i="2"/>
  <c r="AH77" i="2"/>
  <c r="M249" i="2"/>
  <c r="M260" i="2" s="1"/>
  <c r="G249" i="2"/>
  <c r="X261" i="2"/>
  <c r="G251" i="2"/>
  <c r="AH82" i="2"/>
  <c r="M251" i="2"/>
  <c r="M262" i="2" s="1"/>
  <c r="X263" i="2"/>
  <c r="J320" i="2"/>
  <c r="K320" i="2"/>
  <c r="L332" i="2"/>
  <c r="M332" i="2" s="1"/>
  <c r="G246" i="2"/>
  <c r="X258" i="2"/>
  <c r="AH71" i="2"/>
  <c r="M246" i="2"/>
  <c r="M257" i="2" s="1"/>
  <c r="K316" i="2"/>
  <c r="J316" i="2"/>
  <c r="L328" i="2"/>
  <c r="M328" i="2" s="1"/>
  <c r="K319" i="2"/>
  <c r="J319" i="2"/>
  <c r="L331" i="2"/>
  <c r="M331" i="2" s="1"/>
  <c r="G250" i="2"/>
  <c r="AH81" i="2"/>
  <c r="M250" i="2"/>
  <c r="M261" i="2" s="1"/>
  <c r="X262" i="2"/>
  <c r="K315" i="2"/>
  <c r="L327" i="2"/>
  <c r="M327" i="2" s="1"/>
  <c r="J315" i="2"/>
  <c r="J246" i="2"/>
  <c r="K246" i="2" s="1"/>
  <c r="G248" i="2"/>
  <c r="AH74" i="2"/>
  <c r="M248" i="2"/>
  <c r="M259" i="2" s="1"/>
  <c r="X260" i="2"/>
  <c r="L329" i="2"/>
  <c r="M329" i="2" s="1"/>
  <c r="J317" i="2"/>
  <c r="K317" i="2"/>
  <c r="AH68" i="2"/>
  <c r="G245" i="2"/>
  <c r="M245" i="2"/>
  <c r="M256" i="2" s="1"/>
  <c r="X257" i="2"/>
  <c r="G247" i="2"/>
  <c r="AH73" i="2"/>
  <c r="M247" i="2"/>
  <c r="M258" i="2" s="1"/>
  <c r="X259" i="2"/>
  <c r="AH84" i="2"/>
  <c r="M252" i="2"/>
  <c r="M263" i="2" s="1"/>
  <c r="X264" i="2"/>
  <c r="G252" i="2"/>
  <c r="K321" i="2"/>
  <c r="L333" i="2"/>
  <c r="M333" i="2" s="1"/>
  <c r="J321" i="2"/>
  <c r="K318" i="2"/>
  <c r="J318" i="2"/>
  <c r="L330" i="2"/>
  <c r="M330" i="2" s="1"/>
  <c r="AA204" i="2"/>
  <c r="AA203" i="2" s="1"/>
  <c r="AA207" i="2"/>
  <c r="AA208" i="2"/>
  <c r="K322" i="2"/>
  <c r="L334" i="2"/>
  <c r="M334" i="2" s="1"/>
  <c r="J322" i="2"/>
  <c r="X181" i="2"/>
  <c r="X180" i="2"/>
  <c r="X177" i="2"/>
  <c r="W206" i="2"/>
  <c r="X178" i="2"/>
  <c r="X179" i="2"/>
  <c r="K335" i="2"/>
  <c r="K314" i="2"/>
  <c r="J314" i="2"/>
  <c r="L326" i="2"/>
  <c r="M326" i="2" s="1"/>
  <c r="M244" i="2"/>
  <c r="M255" i="2" s="1"/>
  <c r="G244" i="2"/>
  <c r="AH62" i="2"/>
  <c r="AA175" i="2" l="1"/>
  <c r="AA173" i="2"/>
  <c r="AA172" i="2"/>
  <c r="M322" i="2"/>
  <c r="H247" i="2"/>
  <c r="L259" i="2"/>
  <c r="K259" i="2" s="1"/>
  <c r="E247" i="2" s="1"/>
  <c r="L257" i="2"/>
  <c r="K257" i="2" s="1"/>
  <c r="E245" i="2" s="1"/>
  <c r="H245" i="2"/>
  <c r="M314" i="2"/>
  <c r="J323" i="2"/>
  <c r="M318" i="2"/>
  <c r="M321" i="2"/>
  <c r="H252" i="2"/>
  <c r="L264" i="2"/>
  <c r="K264" i="2" s="1"/>
  <c r="E252" i="2" s="1"/>
  <c r="D252" i="2" s="1"/>
  <c r="M317" i="2"/>
  <c r="H248" i="2"/>
  <c r="L260" i="2"/>
  <c r="K260" i="2" s="1"/>
  <c r="E248" i="2" s="1"/>
  <c r="H250" i="2"/>
  <c r="L262" i="2"/>
  <c r="K262" i="2" s="1"/>
  <c r="E250" i="2" s="1"/>
  <c r="M316" i="2"/>
  <c r="H246" i="2"/>
  <c r="L258" i="2"/>
  <c r="K258" i="2" s="1"/>
  <c r="E246" i="2" s="1"/>
  <c r="M320" i="2"/>
  <c r="N315" i="2"/>
  <c r="N319" i="2"/>
  <c r="N314" i="2"/>
  <c r="N321" i="2"/>
  <c r="N318" i="2"/>
  <c r="N317" i="2"/>
  <c r="N322" i="2"/>
  <c r="N316" i="2"/>
  <c r="N320" i="2"/>
  <c r="K323" i="2"/>
  <c r="M315" i="2"/>
  <c r="M319" i="2"/>
  <c r="L263" i="2"/>
  <c r="K263" i="2" s="1"/>
  <c r="E251" i="2" s="1"/>
  <c r="D251" i="2" s="1"/>
  <c r="H251" i="2"/>
  <c r="H249" i="2"/>
  <c r="L261" i="2"/>
  <c r="K261" i="2" s="1"/>
  <c r="E249" i="2" s="1"/>
  <c r="L319" i="2" l="1"/>
  <c r="L317" i="2"/>
  <c r="L321" i="2"/>
  <c r="L316" i="2"/>
  <c r="L320" i="2"/>
  <c r="L322" i="2"/>
  <c r="L318" i="2"/>
  <c r="L314" i="2"/>
  <c r="L315" i="2"/>
  <c r="N341" i="2"/>
  <c r="G341" i="2" s="1"/>
  <c r="N342" i="2"/>
  <c r="G342" i="2" s="1"/>
  <c r="K339" i="2"/>
  <c r="N339" i="2"/>
  <c r="D245" i="2"/>
  <c r="E253" i="2"/>
  <c r="J294" i="2" s="1"/>
  <c r="D247" i="2"/>
  <c r="D249" i="2"/>
  <c r="D246" i="2"/>
  <c r="D250" i="2"/>
  <c r="D248" i="2"/>
  <c r="K340" i="2" l="1"/>
  <c r="G339" i="2"/>
  <c r="J343" i="2"/>
  <c r="N343" i="2" s="1"/>
  <c r="G343" i="2" s="1"/>
  <c r="N340" i="2"/>
  <c r="G340" i="2" s="1"/>
  <c r="G376" i="2" l="1"/>
  <c r="X1" i="2" s="1"/>
  <c r="N376" i="2" l="1"/>
  <c r="J299" i="2"/>
  <c r="B33" i="2"/>
  <c r="H35" i="2" s="1"/>
  <c r="O39" i="2" s="1"/>
  <c r="H30" i="2" l="1"/>
  <c r="B32" i="2"/>
  <c r="D32" i="2"/>
</calcChain>
</file>

<file path=xl/sharedStrings.xml><?xml version="1.0" encoding="utf-8"?>
<sst xmlns="http://schemas.openxmlformats.org/spreadsheetml/2006/main" count="916" uniqueCount="443">
  <si>
    <t>Food</t>
  </si>
  <si>
    <t>Prescriptions</t>
  </si>
  <si>
    <t>Insurance</t>
  </si>
  <si>
    <t>Utilities</t>
  </si>
  <si>
    <t>Transportation</t>
  </si>
  <si>
    <t>Parking</t>
  </si>
  <si>
    <t>Internet</t>
  </si>
  <si>
    <t>Housing</t>
  </si>
  <si>
    <t>Other</t>
  </si>
  <si>
    <t>Cable</t>
  </si>
  <si>
    <t>Savings</t>
  </si>
  <si>
    <t>Rent</t>
  </si>
  <si>
    <t>Daycare</t>
  </si>
  <si>
    <t>Babysitting</t>
  </si>
  <si>
    <t>Groceries</t>
  </si>
  <si>
    <t>Clothing</t>
  </si>
  <si>
    <t>Tobacco</t>
  </si>
  <si>
    <t>Alcohol</t>
  </si>
  <si>
    <t>For more budgeting help, visit MyMoneyCoach.ca</t>
  </si>
  <si>
    <t>HOUSING EXPENSES</t>
  </si>
  <si>
    <t>TRANSPORTATION</t>
  </si>
  <si>
    <t>CLOTHING</t>
  </si>
  <si>
    <t>MEDICAL</t>
  </si>
  <si>
    <t>DEBT PAYMENTS</t>
  </si>
  <si>
    <t>Medical</t>
  </si>
  <si>
    <t>Personal &amp; Discretionary</t>
  </si>
  <si>
    <t>Debt Payments</t>
  </si>
  <si>
    <t>On</t>
  </si>
  <si>
    <t>Off</t>
  </si>
  <si>
    <t>Min</t>
  </si>
  <si>
    <t>Max</t>
  </si>
  <si>
    <t>Actual</t>
  </si>
  <si>
    <t>Range</t>
  </si>
  <si>
    <t>Second Income</t>
  </si>
  <si>
    <t>Child Tax Benefits</t>
  </si>
  <si>
    <t>Support Payments</t>
  </si>
  <si>
    <t>Pension</t>
  </si>
  <si>
    <t>Other Income</t>
  </si>
  <si>
    <t>Tips</t>
  </si>
  <si>
    <t>Commission</t>
  </si>
  <si>
    <t>Notes</t>
  </si>
  <si>
    <t>Child / Spousal Support</t>
  </si>
  <si>
    <t>Vehicle Loan</t>
  </si>
  <si>
    <t>Money Owed to Family or Friends</t>
  </si>
  <si>
    <t>Line of Credit</t>
  </si>
  <si>
    <t>Overdraft</t>
  </si>
  <si>
    <t>Other Loan</t>
  </si>
  <si>
    <t>Credit Card 1</t>
  </si>
  <si>
    <t>Credit Card 2</t>
  </si>
  <si>
    <t>Credit Card 3</t>
  </si>
  <si>
    <t>Credit Card 4</t>
  </si>
  <si>
    <t>Credit Card 5</t>
  </si>
  <si>
    <t>Third Income</t>
  </si>
  <si>
    <t>Student Loan</t>
  </si>
  <si>
    <t>Income Tax (Additional)</t>
  </si>
  <si>
    <t>Lease Payment</t>
  </si>
  <si>
    <t>Personal Loan</t>
  </si>
  <si>
    <t>Other Debt Payment</t>
  </si>
  <si>
    <t>Credit Card 6</t>
  </si>
  <si>
    <t>Credit Card 7</t>
  </si>
  <si>
    <r>
      <t>INCOME</t>
    </r>
    <r>
      <rPr>
        <b/>
        <sz val="10"/>
        <color theme="4" tint="0.39997558519241921"/>
        <rFont val="Arial"/>
        <family val="2"/>
      </rPr>
      <t xml:space="preserve"> (After Tax)</t>
    </r>
  </si>
  <si>
    <t>Emergency Savings</t>
  </si>
  <si>
    <t>Tax Free Savings Account (TFSA)</t>
  </si>
  <si>
    <t>Registered Retirement Savings Plan (RRSP)</t>
  </si>
  <si>
    <t>Registered Education Savings Plan (RESP)</t>
  </si>
  <si>
    <t>Vacation Savings</t>
  </si>
  <si>
    <t>Vehicle Savings</t>
  </si>
  <si>
    <t>Investment Savings</t>
  </si>
  <si>
    <t>Investment Income</t>
  </si>
  <si>
    <t>per person per month</t>
  </si>
  <si>
    <t>Social Assistance</t>
  </si>
  <si>
    <t>monthly</t>
  </si>
  <si>
    <t>bi-weekly</t>
  </si>
  <si>
    <t>semi-monthly</t>
  </si>
  <si>
    <t>weekly</t>
  </si>
  <si>
    <t>OAS</t>
  </si>
  <si>
    <t>quarterly</t>
  </si>
  <si>
    <t>Bonus</t>
  </si>
  <si>
    <t>annually</t>
  </si>
  <si>
    <t>Select</t>
  </si>
  <si>
    <t>Amount</t>
  </si>
  <si>
    <t xml:space="preserve"> per month.</t>
  </si>
  <si>
    <t xml:space="preserve"> to $</t>
  </si>
  <si>
    <t>First Mortgage</t>
  </si>
  <si>
    <t>Second Mortgage</t>
  </si>
  <si>
    <t>Alternate Heating Source</t>
  </si>
  <si>
    <t>Home Security</t>
  </si>
  <si>
    <t>Personal Care (e.g. Grooming, Cosmetics)</t>
  </si>
  <si>
    <t>Baby / Infant Needs (e.g. Diapers, Formula)</t>
  </si>
  <si>
    <t>Bus Fare</t>
  </si>
  <si>
    <t>Taxi Fare</t>
  </si>
  <si>
    <t>Fuel</t>
  </si>
  <si>
    <t>If you get paid on a bi-weekly basis and usually don't have at least $</t>
  </si>
  <si>
    <t>Insurance (Vehicle 2)*</t>
  </si>
  <si>
    <t>Clothing expenses should normally be 3% to 5% of your budget. That would be $</t>
  </si>
  <si>
    <t xml:space="preserve"> per month for your budget.</t>
  </si>
  <si>
    <t>What is your name?</t>
  </si>
  <si>
    <t>Yes</t>
  </si>
  <si>
    <t>No</t>
  </si>
  <si>
    <t>Do you have a spouse or partner?</t>
  </si>
  <si>
    <t>Budgeting guidelines and tips ( On / Off ):</t>
  </si>
  <si>
    <t>'s</t>
  </si>
  <si>
    <t xml:space="preserve">'s </t>
  </si>
  <si>
    <t>RRIF</t>
  </si>
  <si>
    <t xml:space="preserve"> 2</t>
  </si>
  <si>
    <t xml:space="preserve"> 1</t>
  </si>
  <si>
    <t>Gas (for Home)</t>
  </si>
  <si>
    <t>Cell Phone</t>
  </si>
  <si>
    <t>Kid's Cell Phone</t>
  </si>
  <si>
    <t>Other Cell Phone</t>
  </si>
  <si>
    <t>Work Lunches / Breaks</t>
  </si>
  <si>
    <t xml:space="preserve"> (Person 2)</t>
  </si>
  <si>
    <t xml:space="preserve"> (Person 1)</t>
  </si>
  <si>
    <t>(Vehicle 2)*</t>
  </si>
  <si>
    <t xml:space="preserve"> for </t>
  </si>
  <si>
    <t>Vehicle 2</t>
  </si>
  <si>
    <t xml:space="preserve"> Vehicle</t>
  </si>
  <si>
    <t>Process Point</t>
  </si>
  <si>
    <t>Message</t>
  </si>
  <si>
    <t>Entering Housing Expenses</t>
  </si>
  <si>
    <t>Starting to Enter Expenses</t>
  </si>
  <si>
    <t>Budgeting Tip</t>
  </si>
  <si>
    <t>Right Side Bar Beside First Expense Category</t>
  </si>
  <si>
    <t>, you can turn a decent budget into a great one – that really works well – by tracking your expenses. After you’ve tracked your expenses, you can replace the numbers you've entered today with more accurate figures.</t>
  </si>
  <si>
    <t>For the first draft of your budget, fill out the expenses using your best guesses. Later you can improve your budget and make it even more realistic by tracking your expenses and entering more accurate numbers.</t>
  </si>
  <si>
    <t>Provincial Medical Premiums</t>
  </si>
  <si>
    <t>Specialists (e.g. Massage, Chiropractor, Physiotherapy)</t>
  </si>
  <si>
    <t>Disability</t>
  </si>
  <si>
    <t>Eating Out</t>
  </si>
  <si>
    <t>Entertainment (e.g. Movies, Event Tickets, Social Activities)</t>
  </si>
  <si>
    <t>Recreation (e.g. Sports Equipment &amp; Fees, Activities)</t>
  </si>
  <si>
    <t>Lottery / Gaming / Bingo</t>
  </si>
  <si>
    <t>Fitness Memberships</t>
  </si>
  <si>
    <t>Magazines / Newspapers / Books</t>
  </si>
  <si>
    <t>Bank Fees / Safety Deposit Box</t>
  </si>
  <si>
    <t>Storage Locker</t>
  </si>
  <si>
    <t>Laundry / Dry Cleaning</t>
  </si>
  <si>
    <t>Allowance</t>
  </si>
  <si>
    <t>Lessons / Activities</t>
  </si>
  <si>
    <t xml:space="preserve"> per month. If your debt payments are low or if your spending is light in other areas, you can spend more. Just make sure you're putting something into savings each month.</t>
  </si>
  <si>
    <t>Where to find money to save each month</t>
  </si>
  <si>
    <t xml:space="preserve"> from your budget every month for savings.</t>
  </si>
  <si>
    <t>A manageable level of debt payments can take up 5% to 15% of your budget. In your case, that would be $</t>
  </si>
  <si>
    <t>Adult 1</t>
  </si>
  <si>
    <t>Adult 2</t>
  </si>
  <si>
    <t>Phone</t>
  </si>
  <si>
    <t>How many people will be supported by this budget?</t>
  </si>
  <si>
    <t>Take Home Income</t>
  </si>
  <si>
    <t>Once you're done entering your income, enter your housing expenses in the green highlighted area. For the first draft of your budget, enter the numbers you know, or take your best guess. Once you've finished your first draft, you can come back and fine-tune your expenses.</t>
  </si>
  <si>
    <t>You can turn a decent budget into a great one – that really works well – by tracking your expenses. After you’ve tracked your expenses, you can replace the numbers you've entered today with more accurate figures.</t>
  </si>
  <si>
    <t>that would be around $</t>
  </si>
  <si>
    <t>Learn how to save on groceries</t>
  </si>
  <si>
    <t>Disability Income</t>
  </si>
  <si>
    <t>OTHER UTILITIES</t>
  </si>
  <si>
    <t>Counselling Logic</t>
  </si>
  <si>
    <t>Where can we trim spending?</t>
  </si>
  <si>
    <t>Guideline</t>
  </si>
  <si>
    <t>Difference</t>
  </si>
  <si>
    <t>Urgency Score</t>
  </si>
  <si>
    <t>every 2 months</t>
  </si>
  <si>
    <t>every 3 months</t>
  </si>
  <si>
    <t>every 6 months</t>
  </si>
  <si>
    <t>Vehicle Loan Payment</t>
  </si>
  <si>
    <t>Savings for New Vehicle</t>
  </si>
  <si>
    <t>Pet Food</t>
  </si>
  <si>
    <t>Vet Bills / Pet Insurance</t>
  </si>
  <si>
    <t>Deductibles / Out-of-pocket</t>
  </si>
  <si>
    <t>Over-the-Counter</t>
  </si>
  <si>
    <t xml:space="preserve">Clothing for </t>
  </si>
  <si>
    <t xml:space="preserve">Shoes for </t>
  </si>
  <si>
    <t xml:space="preserve">   &lt;&lt; Make sure this number is correct. Include all</t>
  </si>
  <si>
    <t xml:space="preserve">        children and adults who live in the home and
        depend on this budget.</t>
  </si>
  <si>
    <t>PERSONAL EXPENSES</t>
  </si>
  <si>
    <t>FOOD &amp; GROCERY STORE EXPENSES</t>
  </si>
  <si>
    <t>WORK EXPENSES</t>
  </si>
  <si>
    <t>CHILDREN</t>
  </si>
  <si>
    <t>Buying Coffee / Snacks / Drinks</t>
  </si>
  <si>
    <t>Internet Subscriptions (e.g. Anti-Virus, Backups, etc.)</t>
  </si>
  <si>
    <t>Phone / Internet / Cable Bundle</t>
  </si>
  <si>
    <t>Netflix / iTunes / Online Services</t>
  </si>
  <si>
    <t xml:space="preserve"> per month. The average Canadian household of your size spends $</t>
  </si>
  <si>
    <r>
      <t xml:space="preserve">SAVINGS </t>
    </r>
    <r>
      <rPr>
        <b/>
        <sz val="10"/>
        <color theme="4" tint="0.59999389629810485"/>
        <rFont val="Arial"/>
        <family val="2"/>
      </rPr>
      <t>(Money for Spending Later)</t>
    </r>
  </si>
  <si>
    <t>Other Savings</t>
  </si>
  <si>
    <t>Special / Professional Clothing</t>
  </si>
  <si>
    <t>Eye Care</t>
  </si>
  <si>
    <t>Dental / Orthodontist</t>
  </si>
  <si>
    <t>Other (e.g. Critical Illness, Payment Protection)</t>
  </si>
  <si>
    <t>Extended Health</t>
  </si>
  <si>
    <t>Life Insurance</t>
  </si>
  <si>
    <t>Work Supplies (e.g. Tools, Classroom Supplies)</t>
  </si>
  <si>
    <t>Work License Fees / Professional Dues</t>
  </si>
  <si>
    <t>House Keeping Costs / Lawn &amp; Garden Maintenance</t>
  </si>
  <si>
    <t>Gifts</t>
  </si>
  <si>
    <t>School Supplies / Fees</t>
  </si>
  <si>
    <t>Annual Memberships (Store, Online, Family, etc.)</t>
  </si>
  <si>
    <t>Assisting Family</t>
  </si>
  <si>
    <t>Gifts / Special Occasions</t>
  </si>
  <si>
    <t>Salon Services (e.g. Tanning, Aesthetics)</t>
  </si>
  <si>
    <t>Hair Care</t>
  </si>
  <si>
    <t>Hobbies</t>
  </si>
  <si>
    <t>Travel / Vacations</t>
  </si>
  <si>
    <t>bi-weekly actual</t>
  </si>
  <si>
    <t>Filled Out Category (1=Yes, 0=No)</t>
  </si>
  <si>
    <t>Expenses &gt; Income &amp; All Categories Filled Out</t>
  </si>
  <si>
    <t>Expenses &gt; Income &amp; Not All Categories Filled Out (first portion)</t>
  </si>
  <si>
    <t>Expenses &gt; Income &amp; Not All Categories Filled Out (middle portion)</t>
  </si>
  <si>
    <t>Expenses &gt; Income &amp; Not All Categories Filled Out (last portion)</t>
  </si>
  <si>
    <t>. After you've allocated something to all categories, start looking for expenses to trim in order to balance your budget.</t>
  </si>
  <si>
    <t xml:space="preserve"> (including money for Emergency Savings)</t>
  </si>
  <si>
    <t xml:space="preserve"> Based on your income, you should probably spend $</t>
  </si>
  <si>
    <t>Food expenses should make up 10% to 20% of your budget.</t>
  </si>
  <si>
    <t xml:space="preserve"> per month. However, based on your household size you should probably spend closer to $</t>
  </si>
  <si>
    <t xml:space="preserve"> Based on your income, you would be looking at spending $</t>
  </si>
  <si>
    <t xml:space="preserve"> per month. You may be able to find smart ways to spend less but to make sure you have enough to eat, we would suggest you allocate at least $</t>
  </si>
  <si>
    <t xml:space="preserve">We usually don't recommend spending more than 20% of your income on this category. Your at </t>
  </si>
  <si>
    <t>%. However, based on the size of your household, it makes sense for you to spend more. You might also want to look for ways to increase your income.</t>
  </si>
  <si>
    <t>Income Tax Instalments</t>
  </si>
  <si>
    <t>Auto Membership</t>
  </si>
  <si>
    <t>Vehicle Maintenance</t>
  </si>
  <si>
    <t>Budgeting Guidelines</t>
  </si>
  <si>
    <t>Expense Category</t>
  </si>
  <si>
    <t>Minimum</t>
  </si>
  <si>
    <t>Maximum</t>
  </si>
  <si>
    <t>Not Applicable</t>
  </si>
  <si>
    <t>SAVINGS</t>
  </si>
  <si>
    <t>Property Taxes</t>
  </si>
  <si>
    <t>Water / Sewer / Garbage</t>
  </si>
  <si>
    <t>Saving for Repairs / Maintenance</t>
  </si>
  <si>
    <t>Household Items (e.g. Décor, Gardening Supplies)</t>
  </si>
  <si>
    <t>Guidelines on the left</t>
  </si>
  <si>
    <t>Changed</t>
  </si>
  <si>
    <t>Your Budget</t>
  </si>
  <si>
    <t>End of Budget Suggestions for Reducing Expenses</t>
  </si>
  <si>
    <t>Suggestions Calculator will offer to user:</t>
  </si>
  <si>
    <t>If one category isn't filled out</t>
  </si>
  <si>
    <t>If cable &gt; $60</t>
  </si>
  <si>
    <t>If food &gt; $280 per person</t>
  </si>
  <si>
    <t>If housing &gt; $1200 for 2 people, or housing &gt; $400 per person &amp; household has more than 2 people</t>
  </si>
  <si>
    <t>If debt payments &gt; 10% of income &amp; &gt; 60% of debt is not LOC</t>
  </si>
  <si>
    <t>If entertainment &gt; $50 per month per person</t>
  </si>
  <si>
    <t>If hydro &gt; $200 per month</t>
  </si>
  <si>
    <t>If water &gt; $100 per month</t>
  </si>
  <si>
    <t>If cell phone &gt; $0 and phone (incl. Long distance) is &gt; $0</t>
  </si>
  <si>
    <t>Do you need a home phone if you have cell phones? Consider the cost savings of leaving behind your land line!</t>
  </si>
  <si>
    <t>If storage locker &gt; $0</t>
  </si>
  <si>
    <t>If personal care &gt; $30 per person</t>
  </si>
  <si>
    <t>If life insurance &gt; $100 per person</t>
  </si>
  <si>
    <t xml:space="preserve">Review your life insurance needs, as you may be spending more than necessary. </t>
  </si>
  <si>
    <t xml:space="preserve">If lunches/breaks &gt; $40 </t>
  </si>
  <si>
    <t>If tobacco &gt; $0</t>
  </si>
  <si>
    <t>If fitness memberships &gt; $0</t>
  </si>
  <si>
    <t>If eating out &gt; $40 per person</t>
  </si>
  <si>
    <t>If gifts &gt; $100 per month</t>
  </si>
  <si>
    <t xml:space="preserve">If RESP &gt; $0 </t>
  </si>
  <si>
    <t xml:space="preserve">You should allocate some money for the </t>
  </si>
  <si>
    <t>Missing Category</t>
  </si>
  <si>
    <t>Filled Out Category (0=Yes, 1=No)</t>
  </si>
  <si>
    <t>If cell phone per person &gt; $80</t>
  </si>
  <si>
    <t>&lt; Cell Phone Total</t>
  </si>
  <si>
    <t>&lt; Cable Total</t>
  </si>
  <si>
    <t>Combined Suggestion Text</t>
  </si>
  <si>
    <t>Expected Monthly $ Amount of Cost</t>
  </si>
  <si>
    <t>Review all of your housing and housing related costs to see if you can save money on your rent or mortgage, as well as on any of your housing related utilities and expenses.</t>
  </si>
  <si>
    <t>If transportation expenses per month &gt; $700 for 1 person, $1300 for 2 people, or $1600 for more than 2 people</t>
  </si>
  <si>
    <t>If hobbies &gt; $40 per month per person</t>
  </si>
  <si>
    <t>Take a look at your hobby expenses to see if you've included them in the right category. If they are still a bit high, see if it makes sense to reduce them.</t>
  </si>
  <si>
    <t>The average Canadian household spends about $250 per person per month on food. Review your grocery store receipts to see if you are only buying groceries or if you're also buying other items that are increasing how much you spend at the grocery store.</t>
  </si>
  <si>
    <t>See if you can find a cheaper cable package or consider scaling it back.</t>
  </si>
  <si>
    <t>Review your cell phone plan, possibly scale back and consider if you can use it in a more cost-effective way.</t>
  </si>
  <si>
    <t>Check your hydro company's website for ideas about how you can be more energy conscious. Ideas will include: turning off the light when you leave the room, washing clothes in colder water, not setting your thermostat above 19 degrees Celsius.</t>
  </si>
  <si>
    <t xml:space="preserve">Contact your water company to find out what an average water bill for your type of household might be. </t>
  </si>
  <si>
    <t>Shop around to see if you can get a cheaper internet package. Keep in mind that you pay more for higher speeds, but if your computer and/or devices can only handle a lower speed, you are potentially wasting a lot of money.</t>
  </si>
  <si>
    <t>Consider what you are paying to store and if you can live without it. Many people pay to store their things, and after years of bills, sell the things anyways.</t>
  </si>
  <si>
    <t xml:space="preserve">Check out the cost of monthly passes and compare them to what you are spending. </t>
  </si>
  <si>
    <t>Can you reduce the amount you are spending on alcohol? This may also partially be an entertainment expense if you are buying alcohol when you are out.</t>
  </si>
  <si>
    <t xml:space="preserve">Could you reduce how much you spend on eating out by setting specific dates to eat out? For a month or two, try reducing how much you spend to see if you can save. </t>
  </si>
  <si>
    <t>Saving each month towards a future vacation might be new for you. Many people use credit to pay for vacations and then come home to the bill. If the monthly savings amount seems high, either reduce the amount or change your vacation plans to suit a lower amount.</t>
  </si>
  <si>
    <t>Saving for your future is important, as long as you can afford it. Re-evaluate your RRSP or TFSA contributions in light of your overall debt and budget situation. It might make sense to suspend contributions temporarily if you have high expenses elsewhere right now.</t>
  </si>
  <si>
    <t>Saving for your children's future is important, as long as you can truly afford it. Re-evaluate your RESP contributions in light of your overall financial situation.</t>
  </si>
  <si>
    <t>'Personal Care' can be a tough category to budget for accurately. Think about ways to reduce your personal care spending, and how much you really do need to spend if your budget is tight.</t>
  </si>
  <si>
    <t>If internet &gt; $60 per month</t>
  </si>
  <si>
    <t>If public transportation &gt; $180 per person</t>
  </si>
  <si>
    <t>If bank fees &gt; $15 per person</t>
  </si>
  <si>
    <t>If alcohol &gt; $25 per person</t>
  </si>
  <si>
    <t>If lottery &gt; $10</t>
  </si>
  <si>
    <t>If salon services &gt; $25</t>
  </si>
  <si>
    <t>If magazines/ newspapers / books &gt; $10</t>
  </si>
  <si>
    <t>If travel/vacations &gt; 7% of budget</t>
  </si>
  <si>
    <t>If donations &gt; 11%</t>
  </si>
  <si>
    <t>If RRSP or TFSA &gt; $0</t>
  </si>
  <si>
    <t>If clothing &gt; $50 per person</t>
  </si>
  <si>
    <t>Speak with your financial institution to see if you have the best bank account for what you need and how you do your banking. Also, explore financial institutions that don't charge bank fees each month.</t>
  </si>
  <si>
    <t>&lt; Lunches</t>
  </si>
  <si>
    <t xml:space="preserve">Realistically, what could your tobacco use be reduced to? If you don't know where to start, try cutting back by up to half of what you're spending now. </t>
  </si>
  <si>
    <t>If you're really looking to save, think about some free ways you can get your heart pumping instead of paying fees for a fitness membership.</t>
  </si>
  <si>
    <t>If you had to, could you reduce what you spend on the lottery/gaming or cut it out entirely? What would that do overall for your budget?</t>
  </si>
  <si>
    <t>For salon services, consider do-it-yourself salon services to reduce your spending in this area. What could you reduce it to?</t>
  </si>
  <si>
    <t>For real savings on magazines, newspapers, or books, consider reading online or going to the library for books instead of purchasing.</t>
  </si>
  <si>
    <t>Spending on gifts is a big one for a lot of people. Write a list of all occasions, who you need to buy for and how much you want  to spend. Add in some money for gift wrapping and cards, and try to find ways to reduce the amount you're spending on gifts.</t>
  </si>
  <si>
    <t>Have you considered donating some of your time and service instead of only money? This could create some breathing room in your budget each month.</t>
  </si>
  <si>
    <t xml:space="preserve">Explore ways to save money on your transportation costs: can you drive a less expensive vehicle; is taking transit, carpooling or ride-sharing a possibility in your area? </t>
  </si>
  <si>
    <t>Are you able to trim your clothing expenses a bit by buying new clothes less often or wait for sales?</t>
  </si>
  <si>
    <t xml:space="preserve">Please keep in mind that the suggestions we are offering you in this tool are limited to the information you have provided here and are intended only as general guidance, not specific advice. Only you can decide what is best for you and your family. </t>
  </si>
  <si>
    <t>Important Note</t>
  </si>
  <si>
    <t>If you have medical expenses that you need to pay for out of your own pocket, these budgeting expense guidelines may not apply to you. Make sure you follow your health care provider's advice. Your health and well being should be your highest priority in putting together your budget, and if that means disregarding or changing these budgeting guidelines, then that's what you need to do.</t>
  </si>
  <si>
    <t>Suggestions</t>
  </si>
  <si>
    <t>suggestions@mymoneycoach.ca</t>
  </si>
  <si>
    <r>
      <rPr>
        <b/>
        <sz val="10"/>
        <color theme="1" tint="0.34998626667073579"/>
        <rFont val="Arial"/>
        <family val="2"/>
      </rPr>
      <t>Please Note:</t>
    </r>
    <r>
      <rPr>
        <sz val="10"/>
        <color theme="1" tint="0.34998626667073579"/>
        <rFont val="Arial"/>
        <family val="2"/>
      </rPr>
      <t xml:space="preserve"> Because these ranges can vary across the country and with different financial circumstances, we've given you the ability to change these suggested guidelines further down the page.</t>
    </r>
  </si>
  <si>
    <t>The Credit Counselling Society developed the budgeting guidelines used in this spreadsheet based on information from thousands of budgeting sessions with Canadian consumers. However, these guidelines are only meant as a starting point to help people get started in the budgeting process. Based on where you live in Canada, your financial situation, or your personal goals and priorities, you may need to adjust the guideline percentages.
Adjust the guidelines to suit your particular situation. For this early release of the tool, you can only modify four categories at this time. Any percentages you modify here will change the alerts that appear in your budget above.
Below we've provided you with the ability to move the some of the goal posts and adjust the guidelines to suit your particular situation (for this early release of this tool, you can only modify three categories). Any numbers you modify here will change when warnings appear in your budget above.</t>
  </si>
  <si>
    <t>we can improve this spreadsheet, please feel free to email us at</t>
  </si>
  <si>
    <t>This our first try at creating this tool for people who want help budgeting with a spreadsheet. If you have any suggestions for how</t>
  </si>
  <si>
    <t>Call Credit Counselling             If</t>
  </si>
  <si>
    <t>How to Pay Down Debt            If</t>
  </si>
  <si>
    <t>No Suggestions</t>
  </si>
  <si>
    <t>Your budget must be pretty good. We don't have any suggestions for you. This calculator looks for over 30 places where people tend to overspend and you seem to be doing fine in all of them. Good work!</t>
  </si>
  <si>
    <t xml:space="preserve"> sitting in your chequing account, then consider selecting 'bi-weekly actual'. This option reflects the reality that you really only get paid twice each month. You'll then receive two additional pay cheques each year that will help with unforeseen expenses.</t>
  </si>
  <si>
    <t>Criteria Calculator will look for:</t>
  </si>
  <si>
    <t xml:space="preserve"> category. Unless someone is paying for all of your expenses in this category or you really won't have to purchase anything in this category over the next year, you really should allocate some money here to cover costs that you inevitably will incur.</t>
  </si>
  <si>
    <t>If multiple categories aren't filled out</t>
  </si>
  <si>
    <t xml:space="preserve"> categories. Unless someone is paying for all of your expenses in these categories, or you won't have to purchase anything in these categories over the next year, you really should allocate some money to each one to cover costs that you inevitably will incur.</t>
  </si>
  <si>
    <t>you're finding it a real challenge to make ends meet or if you want to create a plan to get out of debt and get your finances back on track, consider sitting down with a Credit &amp; Debt Counsellor to go over you financial situation. They'll be able to help you figure out how to get back on track as fast as possible so that you can get on with your life. Find a non-profit credit counselling agency near you by clicking on the link below:</t>
  </si>
  <si>
    <t xml:space="preserve">Can your spending on lunches and breaks be reduced? Only spending money on paydays or once per week would help you save money each month. </t>
  </si>
  <si>
    <t>Does your employer’s benefit program reimburse you for a portion of some of your medical expenses? If they do, then don’t include the portion your employer pays in your budget unless you have to pay the whole amount up front and you know you won’t have the means to get by until you’re reimbursed.</t>
  </si>
  <si>
    <t>Medical Expense Tip - Employer Reimbursement</t>
  </si>
  <si>
    <t>you want to pay down your debt as 
quickly as possible, we have a great article 
below that outlines the 12 most effective ways 
to get out of debt in Canada:</t>
  </si>
  <si>
    <t>Try to pay down what you owe as quickly as possible. Start with your debt that has the highest interest rate. Doing this will eventually give your budget some breathing room so that you can make other choices with your money.</t>
  </si>
  <si>
    <t>If Debt Payments is the only category not filled out</t>
  </si>
  <si>
    <t>If Savings is the only category not filled out</t>
  </si>
  <si>
    <t>every 4 months</t>
  </si>
  <si>
    <t>every 8 months</t>
  </si>
  <si>
    <t>every 10 months</t>
  </si>
  <si>
    <t>Debt payments are an important part of a budget. It looks like you may have forgotten to include them (e.g. overdraft or line of credit payments). If you really don’t have any debt, congratulations! Keep up the good work.</t>
  </si>
  <si>
    <t>Vehicle 3</t>
  </si>
  <si>
    <t>Vehicle</t>
  </si>
  <si>
    <t>If insures more than one vehicle</t>
  </si>
  <si>
    <t>Do you need to operate multiple vehicles? Could you car pool, take public transit, walk, or cycle to work? If you can figure out a way to give up one vehicle, you can potentially save a lot of money.</t>
  </si>
  <si>
    <t>Test to see if user insures multiple vehicles</t>
  </si>
  <si>
    <t>There is nothing wrong with spending more than 10% of your income on Personal Expenses if your budget allows for it. If you wish to spend more on this category, you'll need to spend less than our budgeting guidelines suggest on other categories so that your budget will balance. Always make sure you are not spending more than you earn.</t>
  </si>
  <si>
    <t>Personal Expenses &gt; 10%</t>
  </si>
  <si>
    <t>If spending more than 10% on Personal Expenses makes sense for your budget and you don't want to see the warning message on the left, you can adjust the Budgeting Guidelines for this category at the very bottom of this worksheet.</t>
  </si>
  <si>
    <t>Donations / Charitable / Planned Giving</t>
  </si>
  <si>
    <t>What kind of a budget would you like to create?</t>
  </si>
  <si>
    <t>- Select -</t>
  </si>
  <si>
    <t>My finances are okay right now, but I want to make sure they stay on track.</t>
  </si>
  <si>
    <t>I need to really tighten up my finances or get back on track.</t>
  </si>
  <si>
    <t>RRIF 2</t>
  </si>
  <si>
    <t>months</t>
  </si>
  <si>
    <t>Needs to last</t>
  </si>
  <si>
    <t>Withdrawal Frequency</t>
  </si>
  <si>
    <t>Start</t>
  </si>
  <si>
    <t>End</t>
  </si>
  <si>
    <t>Days from Start to End</t>
  </si>
  <si>
    <t>Number of Bi-Weekly Paydays</t>
  </si>
  <si>
    <t>Calculating Bi-Weekly Paypays for Lump Sum Income</t>
  </si>
  <si>
    <t>Max Daycare Amount =</t>
  </si>
  <si>
    <t>(based on # of kids)</t>
  </si>
  <si>
    <t>Daycare Amount =</t>
  </si>
  <si>
    <t>Guideline Maximum for Type of Budget Being Created</t>
  </si>
  <si>
    <t>1 - Default</t>
  </si>
  <si>
    <t>2 - Doing Okay</t>
  </si>
  <si>
    <t>Add Ons</t>
  </si>
  <si>
    <t>Giving</t>
  </si>
  <si>
    <t>Default Budget Message</t>
  </si>
  <si>
    <t>Message if Daycare or high Giving are happening</t>
  </si>
  <si>
    <t>Try not to let these utility expenses exceed 5% of your budget. Based on your income, $</t>
  </si>
  <si>
    <t xml:space="preserve"> per month would be your limit if you choose to follow this guideline.</t>
  </si>
  <si>
    <t>Transportation expenses will usually take up 15% to 20% of your budget. This means you could be looking at allocating from $</t>
  </si>
  <si>
    <t>Number of kids =</t>
  </si>
  <si>
    <t>The light green coloured areas above are the suggested ranges for each budgeting category. The dark green bars indicate where your budget falls in each category. This lets you see if you're within the recommended range or outside of it.</t>
  </si>
  <si>
    <t>TOTAL MONTHLY EXPENSES</t>
  </si>
  <si>
    <t>You should allocate some money for Savings. For a budget to work, you have to allocate money for unexpected expenses which will inevitably occur. Without money to cover these unforeseen expenses, you will probably end up relying on credit.</t>
  </si>
  <si>
    <t>Top Banner Messages</t>
  </si>
  <si>
    <t>Finished Budget = 'Yes' &amp; We have Suggestions for Them</t>
  </si>
  <si>
    <t>Have you finished your budget, or do you need some help balancing your budget? If you think you're done, or if you'd like some help, select 'Yes':</t>
  </si>
  <si>
    <t>Expenses &gt; Income &amp; Expense Category &gt; 10%</t>
  </si>
  <si>
    <t>Under or Over Guidelines</t>
  </si>
  <si>
    <t>Flag for Categories That Need to be Addressed</t>
  </si>
  <si>
    <t>Problem Flag</t>
  </si>
  <si>
    <t>Carefully work through all messages that are supposed to display in the top right hand corner, and make sure they are all working at the right time.</t>
  </si>
  <si>
    <t xml:space="preserve">While you have run out of income, you don't appear to be finished your budget. Unless someone else is paying your expenses in one or more categories, it's usually a good idea to allocate money to all parts of your budget </t>
  </si>
  <si>
    <t>Tuition</t>
  </si>
  <si>
    <t>Supplies</t>
  </si>
  <si>
    <t>Books</t>
  </si>
  <si>
    <t>Student Fees</t>
  </si>
  <si>
    <t>LIVING / SCHOOL EXPENSES</t>
  </si>
  <si>
    <t>First Name</t>
  </si>
  <si>
    <t>Tenant Insurance</t>
  </si>
  <si>
    <t>Tenant / Home Insurance</t>
  </si>
  <si>
    <t>Click here for more expense options</t>
  </si>
  <si>
    <t>Good choice! We find that many people become frustrated using 'bi-weekly' income to fund a monthly budget because bi-weekly assumes you get paid a little more than 2 times per month. In reality, for 10 months each year you get 2 paycheques and for the other 2 months you get 3 paycheques.</t>
  </si>
  <si>
    <t>Big Box Store / Costco</t>
  </si>
  <si>
    <t>Specialty Store</t>
  </si>
  <si>
    <t>Car Pooling Money</t>
  </si>
  <si>
    <t>Show tip message for Debt Payments if someone jumps down to this category first or second.</t>
  </si>
  <si>
    <t>Weekly expenses - reminder that you can select this</t>
  </si>
  <si>
    <t>Health Expenses &amp; Insurance</t>
  </si>
  <si>
    <t>Student Budget Calculator Spreadsheet</t>
  </si>
  <si>
    <t>If you have children, click here to see a drop down menu of options</t>
  </si>
  <si>
    <t>Fees</t>
  </si>
  <si>
    <t>Damage Deposit</t>
  </si>
  <si>
    <t>Technology Costs</t>
  </si>
  <si>
    <t>iPad</t>
  </si>
  <si>
    <t>Laptop / Computer</t>
  </si>
  <si>
    <t>Work Supplies (e.g. Tools)</t>
  </si>
  <si>
    <t>UP-FRONT, ONE-TIME EXPENSES</t>
  </si>
  <si>
    <t xml:space="preserve">         - Select Type -</t>
  </si>
  <si>
    <t>Preserved Sample:</t>
  </si>
  <si>
    <t>UP-FRONT EXPENSES TOTAL</t>
  </si>
  <si>
    <t>Lump Sum of Funds?</t>
  </si>
  <si>
    <t>needed now</t>
  </si>
  <si>
    <t>Amount deducted from Lump Sum "Amount" on same row</t>
  </si>
  <si>
    <t>Amount left for income</t>
  </si>
  <si>
    <t>End Date</t>
  </si>
  <si>
    <t>A</t>
  </si>
  <si>
    <t>B</t>
  </si>
  <si>
    <t>C</t>
  </si>
  <si>
    <t>Number of lump sums</t>
  </si>
  <si>
    <t># of lump sums providing monthly income</t>
  </si>
  <si>
    <t>Min number of months lump sum will be used for</t>
  </si>
  <si>
    <t>Max number of months a lump sum will be used for</t>
  </si>
  <si>
    <t>&lt;-- A 1 here indicates we are dealing with three different lengths of time that the lump sums will last for.</t>
  </si>
  <si>
    <t>If you are planning on supplementing your income by gradually withdrawing funds from a lump sum of money (could be a loan or savings), then enter the lump sum amount, the number of months you need this money to last, and the frequency with which you wish to withdraw funds from your lump sum. If have a lump sum amount but will being using it to pay for up-front expenses, then enter the lump sum(s) you have and also enter your up-front expenses above.</t>
  </si>
  <si>
    <t>Summary for Total Income</t>
  </si>
  <si>
    <t>Lump Sum</t>
  </si>
  <si>
    <t>Once you're ready, enter your up-front expenses below. If this is the first draft of you budget, estimating expenses is fine. However, make sure to find out your actual costs before tuition and fees are due. Ask your financial aid office for information on tuition, fees, and book costs if you're not sure.</t>
  </si>
  <si>
    <t>Ready to fill out Up-Front Expenses</t>
  </si>
  <si>
    <t>Learn how to budget irregular, part-time income. When you manage to pick up extra hours and make a little bit extra, it's wise to control your spending rather than give yourself a license to go on a shopping spree. Here are some resources that may be able to help you:</t>
  </si>
  <si>
    <t>Income Tip - Irregular Income</t>
  </si>
  <si>
    <t>If your budget is a bit tight, finding less expensive forms of entertainment might be a possibility. Most campuses are teeming with free entertainment opportunities. Find them and make use of them. Check with your Students’ Association for more information.</t>
  </si>
  <si>
    <t>Clothing for You</t>
  </si>
  <si>
    <t>Shoes for You</t>
  </si>
  <si>
    <t>Part-Time Income</t>
  </si>
  <si>
    <t>Enter your take-home, income (what you get after tax is deducted from your paycheque). Click on any income type for more options.</t>
  </si>
  <si>
    <t>Grant</t>
  </si>
  <si>
    <t>Government Student Aid</t>
  </si>
  <si>
    <t>Parental Contribution</t>
  </si>
  <si>
    <t>RESP</t>
  </si>
  <si>
    <t>Bursary</t>
  </si>
  <si>
    <t>Scholarship / Award</t>
  </si>
  <si>
    <t>Research Assistantship</t>
  </si>
  <si>
    <t>Teaching Assistantship</t>
  </si>
  <si>
    <t>Electricity</t>
  </si>
  <si>
    <t>Version 1.431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</si>
</sst>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8" formatCode="&quot;$&quot;#,##0.00;[Red]\-&quot;$&quot;#,##0.00"/>
    <numFmt numFmtId="164" formatCode="0.0%"/>
    <numFmt numFmtId="165" formatCode="&quot;$&quot;#,##0"/>
    <numFmt numFmtId="166" formatCode="&quot;$&quot;#,##0.00"/>
    <numFmt numFmtId="167" formatCode="&quot;$&quot;#,##0;[Red]&quot;$&quot;#,##0"/>
  </numFmts>
  <fonts count="4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5"/>
      <name val="Arial"/>
      <family val="2"/>
    </font>
    <font>
      <sz val="10"/>
      <name val="Arial"/>
      <family val="2"/>
    </font>
    <font>
      <sz val="10"/>
      <color indexed="62"/>
      <name val="Arial"/>
      <family val="2"/>
    </font>
    <font>
      <b/>
      <sz val="10"/>
      <color indexed="9"/>
      <name val="Arial"/>
      <family val="2"/>
    </font>
    <font>
      <sz val="10"/>
      <color indexed="9"/>
      <name val="Arial"/>
      <family val="2"/>
    </font>
    <font>
      <b/>
      <sz val="10"/>
      <name val="Arial"/>
      <family val="2"/>
    </font>
    <font>
      <sz val="10"/>
      <color theme="1"/>
      <name val="Arial"/>
      <family val="2"/>
    </font>
    <font>
      <b/>
      <sz val="10"/>
      <color theme="1"/>
      <name val="Arial"/>
      <family val="2"/>
    </font>
    <font>
      <sz val="10"/>
      <color theme="0"/>
      <name val="Arial"/>
      <family val="2"/>
    </font>
    <font>
      <sz val="11"/>
      <color theme="0" tint="-0.34998626667073579"/>
      <name val="Arial"/>
      <family val="2"/>
    </font>
    <font>
      <sz val="10"/>
      <color theme="1" tint="0.34998626667073579"/>
      <name val="Arial"/>
      <family val="2"/>
    </font>
    <font>
      <sz val="9"/>
      <name val="Arial"/>
      <family val="2"/>
    </font>
    <font>
      <sz val="10"/>
      <color theme="0" tint="-0.34998626667073579"/>
      <name val="Arial"/>
      <family val="2"/>
    </font>
    <font>
      <sz val="10"/>
      <color theme="0" tint="-0.249977111117893"/>
      <name val="Arial"/>
      <family val="2"/>
    </font>
    <font>
      <b/>
      <sz val="10"/>
      <color theme="4" tint="0.39997558519241921"/>
      <name val="Arial"/>
      <family val="2"/>
    </font>
    <font>
      <sz val="11"/>
      <name val="Arial"/>
      <family val="2"/>
    </font>
    <font>
      <sz val="10"/>
      <color theme="0" tint="-0.14999847407452621"/>
      <name val="Arial"/>
      <family val="2"/>
    </font>
    <font>
      <b/>
      <sz val="9"/>
      <name val="Arial"/>
      <family val="2"/>
    </font>
    <font>
      <sz val="9"/>
      <color theme="1" tint="0.34998626667073579"/>
      <name val="Arial"/>
      <family val="2"/>
    </font>
    <font>
      <b/>
      <sz val="9"/>
      <color theme="1" tint="0.34998626667073579"/>
      <name val="Arial"/>
      <family val="2"/>
    </font>
    <font>
      <b/>
      <sz val="10"/>
      <color rgb="FF006600"/>
      <name val="Arial"/>
      <family val="2"/>
    </font>
    <font>
      <b/>
      <sz val="10"/>
      <color theme="0"/>
      <name val="Arial"/>
      <family val="2"/>
    </font>
    <font>
      <b/>
      <sz val="10"/>
      <color theme="4" tint="0.59999389629810485"/>
      <name val="Arial"/>
      <family val="2"/>
    </font>
    <font>
      <sz val="10"/>
      <color theme="0" tint="-0.499984740745262"/>
      <name val="Arial"/>
      <family val="2"/>
    </font>
    <font>
      <b/>
      <sz val="9"/>
      <color theme="0" tint="-0.499984740745262"/>
      <name val="Arial"/>
      <family val="2"/>
    </font>
    <font>
      <b/>
      <sz val="12"/>
      <color theme="1"/>
      <name val="Arial"/>
      <family val="2"/>
    </font>
    <font>
      <b/>
      <sz val="12"/>
      <name val="Arial"/>
      <family val="2"/>
    </font>
    <font>
      <b/>
      <sz val="10"/>
      <color theme="1" tint="0.34998626667073579"/>
      <name val="Arial"/>
      <family val="2"/>
    </font>
    <font>
      <u/>
      <sz val="10"/>
      <color theme="1"/>
      <name val="Arial"/>
      <family val="2"/>
    </font>
    <font>
      <sz val="10"/>
      <color rgb="FF006600"/>
      <name val="Arial"/>
      <family val="2"/>
    </font>
    <font>
      <sz val="10"/>
      <color theme="1"/>
      <name val="Calibri"/>
      <family val="2"/>
      <scheme val="minor"/>
    </font>
    <font>
      <b/>
      <sz val="11"/>
      <color theme="1"/>
      <name val="Calibri"/>
      <family val="2"/>
      <scheme val="minor"/>
    </font>
    <font>
      <sz val="11"/>
      <color theme="0"/>
      <name val="Calibri"/>
      <family val="2"/>
      <scheme val="minor"/>
    </font>
    <font>
      <sz val="10"/>
      <color rgb="FFEEEEEE"/>
      <name val="Arial"/>
      <family val="2"/>
    </font>
    <font>
      <b/>
      <sz val="10"/>
      <color rgb="FF008000"/>
      <name val="Arial"/>
      <family val="2"/>
    </font>
    <font>
      <sz val="11"/>
      <color theme="1"/>
      <name val="Arial"/>
      <family val="2"/>
    </font>
    <font>
      <b/>
      <sz val="11"/>
      <color theme="0"/>
      <name val="Calibri"/>
      <family val="2"/>
      <scheme val="minor"/>
    </font>
    <font>
      <u/>
      <sz val="10"/>
      <color theme="0"/>
      <name val="Arial"/>
      <family val="2"/>
    </font>
  </fonts>
  <fills count="12">
    <fill>
      <patternFill patternType="none"/>
    </fill>
    <fill>
      <patternFill patternType="gray125"/>
    </fill>
    <fill>
      <patternFill patternType="solid">
        <fgColor indexed="62"/>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EEEEEE"/>
        <bgColor indexed="64"/>
      </patternFill>
    </fill>
    <fill>
      <patternFill patternType="solid">
        <fgColor rgb="FFE2E2E2"/>
        <bgColor indexed="64"/>
      </patternFill>
    </fill>
  </fills>
  <borders count="2">
    <border>
      <left/>
      <right/>
      <top/>
      <bottom/>
      <diagonal/>
    </border>
    <border>
      <left/>
      <right/>
      <top/>
      <bottom style="thin">
        <color indexed="64"/>
      </bottom>
      <diagonal/>
    </border>
  </borders>
  <cellStyleXfs count="4">
    <xf numFmtId="0" fontId="0" fillId="0" borderId="0"/>
    <xf numFmtId="0" fontId="6" fillId="0" borderId="0" applyNumberFormat="0" applyFill="0" applyBorder="0" applyAlignment="0" applyProtection="0">
      <alignment vertical="top"/>
      <protection locked="0"/>
    </xf>
    <xf numFmtId="0" fontId="5" fillId="0" borderId="0"/>
    <xf numFmtId="0" fontId="4" fillId="0" borderId="0"/>
  </cellStyleXfs>
  <cellXfs count="352">
    <xf numFmtId="0" fontId="0" fillId="0" borderId="0" xfId="0"/>
    <xf numFmtId="0" fontId="14" fillId="4" borderId="0" xfId="0" applyFont="1" applyFill="1" applyProtection="1">
      <protection locked="0"/>
    </xf>
    <xf numFmtId="0" fontId="0" fillId="4" borderId="0" xfId="0" applyFill="1" applyProtection="1">
      <protection locked="0"/>
    </xf>
    <xf numFmtId="0" fontId="0" fillId="3" borderId="0" xfId="0" applyFill="1" applyProtection="1">
      <protection locked="0"/>
    </xf>
    <xf numFmtId="0" fontId="0" fillId="0" borderId="0" xfId="0" applyFill="1" applyProtection="1">
      <protection locked="0"/>
    </xf>
    <xf numFmtId="0" fontId="15" fillId="3" borderId="0" xfId="0" applyFont="1" applyFill="1" applyAlignment="1" applyProtection="1">
      <alignment vertical="center"/>
      <protection locked="0"/>
    </xf>
    <xf numFmtId="0" fontId="10" fillId="3" borderId="0" xfId="0" applyFont="1" applyFill="1" applyProtection="1">
      <protection locked="0"/>
    </xf>
    <xf numFmtId="0" fontId="10" fillId="0" borderId="0" xfId="0" applyFont="1" applyFill="1" applyProtection="1">
      <protection locked="0"/>
    </xf>
    <xf numFmtId="0" fontId="10" fillId="4" borderId="0" xfId="0" applyFont="1" applyFill="1" applyProtection="1">
      <protection locked="0"/>
    </xf>
    <xf numFmtId="0" fontId="14" fillId="3" borderId="0" xfId="0" applyFont="1" applyFill="1" applyProtection="1">
      <protection locked="0"/>
    </xf>
    <xf numFmtId="0" fontId="10" fillId="3" borderId="0" xfId="0" applyFont="1" applyFill="1" applyAlignment="1" applyProtection="1">
      <alignment vertical="center"/>
      <protection locked="0"/>
    </xf>
    <xf numFmtId="0" fontId="10" fillId="0" borderId="0" xfId="0" applyFont="1" applyFill="1" applyAlignment="1" applyProtection="1">
      <alignment vertical="center"/>
      <protection locked="0"/>
    </xf>
    <xf numFmtId="0" fontId="10" fillId="4" borderId="0" xfId="0" applyFont="1" applyFill="1" applyAlignment="1" applyProtection="1">
      <alignment vertical="center"/>
      <protection locked="0"/>
    </xf>
    <xf numFmtId="0" fontId="14" fillId="4" borderId="0" xfId="0" applyFont="1" applyFill="1" applyAlignment="1" applyProtection="1">
      <alignment horizontal="center"/>
      <protection locked="0"/>
    </xf>
    <xf numFmtId="164" fontId="14" fillId="4" borderId="0" xfId="0" applyNumberFormat="1" applyFont="1" applyFill="1" applyProtection="1">
      <protection locked="0"/>
    </xf>
    <xf numFmtId="164" fontId="15" fillId="4" borderId="0" xfId="0" applyNumberFormat="1" applyFont="1" applyFill="1" applyProtection="1">
      <protection locked="0"/>
    </xf>
    <xf numFmtId="9" fontId="14" fillId="4" borderId="0" xfId="0" applyNumberFormat="1" applyFont="1" applyFill="1" applyProtection="1">
      <protection locked="0"/>
    </xf>
    <xf numFmtId="0" fontId="10" fillId="0" borderId="0" xfId="0" applyFont="1" applyProtection="1">
      <protection locked="0"/>
    </xf>
    <xf numFmtId="0" fontId="0" fillId="0" borderId="0" xfId="0" applyProtection="1">
      <protection locked="0"/>
    </xf>
    <xf numFmtId="0" fontId="21" fillId="4" borderId="0" xfId="0" applyNumberFormat="1" applyFont="1" applyFill="1" applyAlignment="1" applyProtection="1">
      <alignment vertical="center"/>
    </xf>
    <xf numFmtId="0" fontId="0" fillId="4" borderId="0" xfId="0" applyFill="1" applyProtection="1"/>
    <xf numFmtId="0" fontId="0" fillId="3" borderId="0" xfId="0" applyFill="1" applyProtection="1"/>
    <xf numFmtId="0" fontId="0" fillId="0" borderId="0" xfId="0" applyFill="1" applyProtection="1"/>
    <xf numFmtId="0" fontId="14" fillId="3" borderId="0" xfId="0" applyFont="1" applyFill="1" applyAlignment="1" applyProtection="1">
      <alignment vertical="center"/>
      <protection locked="0"/>
    </xf>
    <xf numFmtId="0" fontId="0" fillId="0" borderId="0" xfId="0" applyAlignment="1">
      <alignment vertical="center"/>
    </xf>
    <xf numFmtId="0" fontId="0" fillId="4" borderId="0" xfId="0" applyFill="1"/>
    <xf numFmtId="0" fontId="0" fillId="4" borderId="0" xfId="0" applyFill="1" applyProtection="1">
      <protection locked="0"/>
    </xf>
    <xf numFmtId="0" fontId="0" fillId="4" borderId="0" xfId="0" applyFill="1" applyProtection="1">
      <protection locked="0"/>
    </xf>
    <xf numFmtId="0" fontId="9" fillId="4" borderId="0" xfId="0" applyFont="1" applyFill="1" applyBorder="1" applyAlignment="1" applyProtection="1">
      <alignment horizontal="left" vertical="top" wrapText="1"/>
      <protection hidden="1"/>
    </xf>
    <xf numFmtId="0" fontId="0" fillId="4" borderId="0" xfId="0" applyFill="1" applyProtection="1">
      <protection hidden="1"/>
    </xf>
    <xf numFmtId="0" fontId="6" fillId="4" borderId="0" xfId="1" applyFill="1" applyAlignment="1" applyProtection="1">
      <alignment vertical="center"/>
      <protection hidden="1"/>
    </xf>
    <xf numFmtId="0" fontId="17" fillId="7" borderId="0" xfId="0" applyNumberFormat="1" applyFont="1" applyFill="1" applyAlignment="1" applyProtection="1">
      <alignment horizontal="center" vertical="center"/>
      <protection hidden="1"/>
    </xf>
    <xf numFmtId="0" fontId="17" fillId="7" borderId="0" xfId="0" applyFont="1" applyFill="1" applyAlignment="1" applyProtection="1">
      <alignment horizontal="center" vertical="center"/>
      <protection hidden="1"/>
    </xf>
    <xf numFmtId="166" fontId="17" fillId="7" borderId="0" xfId="0" applyNumberFormat="1" applyFont="1" applyFill="1" applyAlignment="1" applyProtection="1">
      <alignment horizontal="center" vertical="center"/>
      <protection hidden="1"/>
    </xf>
    <xf numFmtId="165" fontId="17" fillId="7" borderId="0" xfId="0" applyNumberFormat="1" applyFont="1" applyFill="1" applyAlignment="1" applyProtection="1">
      <alignment horizontal="center" vertical="center"/>
      <protection hidden="1"/>
    </xf>
    <xf numFmtId="0" fontId="17" fillId="7" borderId="0" xfId="0" applyFont="1" applyFill="1" applyAlignment="1" applyProtection="1">
      <protection hidden="1"/>
    </xf>
    <xf numFmtId="0" fontId="17" fillId="7" borderId="0" xfId="0" applyFont="1" applyFill="1" applyAlignment="1" applyProtection="1">
      <alignment vertical="top"/>
      <protection hidden="1"/>
    </xf>
    <xf numFmtId="0" fontId="33" fillId="4" borderId="0" xfId="0" applyFont="1" applyFill="1" applyProtection="1">
      <protection hidden="1"/>
    </xf>
    <xf numFmtId="0" fontId="14" fillId="4" borderId="0" xfId="0" applyFont="1" applyFill="1" applyProtection="1">
      <protection hidden="1"/>
    </xf>
    <xf numFmtId="0" fontId="14" fillId="4" borderId="0" xfId="0" applyFont="1" applyFill="1" applyAlignment="1" applyProtection="1">
      <alignment horizontal="center"/>
      <protection hidden="1"/>
    </xf>
    <xf numFmtId="0" fontId="0" fillId="4" borderId="0" xfId="0" applyFill="1" applyAlignment="1" applyProtection="1">
      <alignment vertical="center"/>
      <protection locked="0"/>
    </xf>
    <xf numFmtId="0" fontId="14" fillId="5" borderId="0" xfId="0" applyFont="1" applyFill="1" applyAlignment="1" applyProtection="1">
      <protection locked="0" hidden="1"/>
    </xf>
    <xf numFmtId="0" fontId="14" fillId="0" borderId="0" xfId="0" applyFont="1" applyFill="1" applyAlignment="1" applyProtection="1">
      <protection locked="0" hidden="1"/>
    </xf>
    <xf numFmtId="0" fontId="14" fillId="0" borderId="0" xfId="0" applyFont="1" applyAlignment="1" applyProtection="1">
      <protection locked="0" hidden="1"/>
    </xf>
    <xf numFmtId="0" fontId="14" fillId="5" borderId="0" xfId="0" applyFont="1" applyFill="1" applyAlignment="1" applyProtection="1">
      <alignment horizontal="left"/>
      <protection locked="0" hidden="1"/>
    </xf>
    <xf numFmtId="0" fontId="14" fillId="0" borderId="0" xfId="0" applyFont="1" applyFill="1" applyAlignment="1" applyProtection="1">
      <alignment horizontal="left"/>
      <protection locked="0" hidden="1"/>
    </xf>
    <xf numFmtId="0" fontId="14" fillId="5" borderId="0" xfId="0" applyFont="1" applyFill="1" applyProtection="1">
      <protection locked="0" hidden="1"/>
    </xf>
    <xf numFmtId="0" fontId="14" fillId="0" borderId="0" xfId="0" applyFont="1" applyFill="1" applyProtection="1">
      <protection locked="0" hidden="1"/>
    </xf>
    <xf numFmtId="0" fontId="15" fillId="5" borderId="0" xfId="0" applyFont="1" applyFill="1" applyAlignment="1" applyProtection="1">
      <alignment horizontal="left"/>
      <protection locked="0" hidden="1"/>
    </xf>
    <xf numFmtId="0" fontId="15" fillId="0" borderId="0" xfId="0" applyFont="1" applyFill="1" applyAlignment="1" applyProtection="1">
      <alignment horizontal="left"/>
      <protection locked="0" hidden="1"/>
    </xf>
    <xf numFmtId="0" fontId="10" fillId="4" borderId="0" xfId="0" applyFont="1" applyFill="1" applyProtection="1">
      <protection hidden="1"/>
    </xf>
    <xf numFmtId="164" fontId="38" fillId="4" borderId="0" xfId="0" applyNumberFormat="1" applyFont="1" applyFill="1" applyProtection="1">
      <protection hidden="1"/>
    </xf>
    <xf numFmtId="0" fontId="38" fillId="4" borderId="0" xfId="0" applyFont="1" applyFill="1" applyProtection="1">
      <protection hidden="1"/>
    </xf>
    <xf numFmtId="164" fontId="38" fillId="4" borderId="0" xfId="0" applyNumberFormat="1" applyFont="1" applyFill="1" applyAlignment="1" applyProtection="1">
      <alignment vertical="center"/>
      <protection hidden="1"/>
    </xf>
    <xf numFmtId="0" fontId="6" fillId="4" borderId="0" xfId="1" applyFill="1" applyAlignment="1" applyProtection="1">
      <alignment wrapText="1"/>
      <protection hidden="1"/>
    </xf>
    <xf numFmtId="0" fontId="10" fillId="4" borderId="0" xfId="0" applyFont="1" applyFill="1" applyAlignment="1" applyProtection="1">
      <alignment vertical="center"/>
      <protection hidden="1"/>
    </xf>
    <xf numFmtId="0" fontId="10" fillId="3" borderId="0" xfId="0" applyFont="1" applyFill="1" applyProtection="1">
      <protection hidden="1"/>
    </xf>
    <xf numFmtId="0" fontId="36" fillId="4" borderId="0" xfId="1" applyFont="1" applyFill="1" applyAlignment="1" applyProtection="1">
      <alignment wrapText="1"/>
      <protection hidden="1"/>
    </xf>
    <xf numFmtId="0" fontId="14" fillId="4" borderId="0" xfId="0" applyFont="1" applyFill="1" applyAlignment="1" applyProtection="1">
      <alignment vertical="center"/>
      <protection hidden="1"/>
    </xf>
    <xf numFmtId="0" fontId="10" fillId="3" borderId="0" xfId="0" applyFont="1" applyFill="1" applyAlignment="1" applyProtection="1">
      <alignment vertical="center"/>
      <protection hidden="1"/>
    </xf>
    <xf numFmtId="0" fontId="14" fillId="3" borderId="0" xfId="0" applyFont="1" applyFill="1" applyProtection="1">
      <protection hidden="1"/>
    </xf>
    <xf numFmtId="0" fontId="10" fillId="4" borderId="0" xfId="0" applyFont="1" applyFill="1" applyAlignment="1" applyProtection="1">
      <alignment horizontal="left"/>
      <protection hidden="1"/>
    </xf>
    <xf numFmtId="0" fontId="24" fillId="7" borderId="0" xfId="0" applyFont="1" applyFill="1" applyAlignment="1" applyProtection="1">
      <alignment horizontal="center" vertical="center"/>
      <protection hidden="1"/>
    </xf>
    <xf numFmtId="0" fontId="13" fillId="5" borderId="0" xfId="0" applyFont="1" applyFill="1" applyAlignment="1" applyProtection="1">
      <alignment horizontal="center" vertical="center"/>
      <protection locked="0" hidden="1"/>
    </xf>
    <xf numFmtId="0" fontId="13" fillId="3" borderId="0" xfId="0" applyFont="1" applyFill="1" applyAlignment="1" applyProtection="1">
      <alignment horizontal="left" vertical="center"/>
      <protection hidden="1"/>
    </xf>
    <xf numFmtId="9" fontId="9" fillId="4" borderId="0" xfId="0" applyNumberFormat="1" applyFont="1" applyFill="1" applyAlignment="1" applyProtection="1">
      <alignment horizontal="center" vertical="center"/>
      <protection hidden="1"/>
    </xf>
    <xf numFmtId="0" fontId="9" fillId="4" borderId="0" xfId="0" applyFont="1" applyFill="1" applyAlignment="1" applyProtection="1">
      <alignment vertical="center"/>
      <protection hidden="1"/>
    </xf>
    <xf numFmtId="0" fontId="0" fillId="4" borderId="0" xfId="0" applyFill="1" applyAlignment="1" applyProtection="1">
      <alignment vertical="center"/>
      <protection hidden="1"/>
    </xf>
    <xf numFmtId="9" fontId="23" fillId="0" borderId="0" xfId="0" applyNumberFormat="1" applyFont="1" applyFill="1" applyAlignment="1" applyProtection="1">
      <alignment horizontal="right" vertical="center"/>
      <protection hidden="1"/>
    </xf>
    <xf numFmtId="0" fontId="8" fillId="3" borderId="0" xfId="0" applyFont="1" applyFill="1" applyAlignment="1" applyProtection="1">
      <alignment horizontal="left"/>
      <protection hidden="1"/>
    </xf>
    <xf numFmtId="0" fontId="0" fillId="3" borderId="0" xfId="0" applyFill="1" applyProtection="1">
      <protection hidden="1"/>
    </xf>
    <xf numFmtId="0" fontId="13" fillId="4" borderId="0" xfId="0" applyFont="1" applyFill="1" applyAlignment="1" applyProtection="1">
      <alignment vertical="center" wrapText="1"/>
      <protection hidden="1"/>
    </xf>
    <xf numFmtId="0" fontId="13" fillId="4" borderId="0" xfId="0" applyNumberFormat="1" applyFont="1" applyFill="1" applyAlignment="1" applyProtection="1">
      <alignment vertical="center" wrapText="1"/>
      <protection hidden="1"/>
    </xf>
    <xf numFmtId="0" fontId="0" fillId="3" borderId="0" xfId="0" applyFill="1" applyProtection="1">
      <protection locked="0" hidden="1"/>
    </xf>
    <xf numFmtId="0" fontId="13" fillId="4" borderId="0" xfId="0" applyFont="1" applyFill="1" applyAlignment="1" applyProtection="1">
      <alignment vertical="center" wrapText="1"/>
      <protection locked="0" hidden="1"/>
    </xf>
    <xf numFmtId="0" fontId="13" fillId="3" borderId="0" xfId="0" applyFont="1" applyFill="1" applyAlignment="1" applyProtection="1">
      <alignment horizontal="left"/>
      <protection hidden="1"/>
    </xf>
    <xf numFmtId="0" fontId="14" fillId="3" borderId="0" xfId="0" applyFont="1" applyFill="1" applyProtection="1">
      <protection locked="0" hidden="1"/>
    </xf>
    <xf numFmtId="0" fontId="8" fillId="4" borderId="0" xfId="0" applyFont="1" applyFill="1" applyAlignment="1" applyProtection="1">
      <protection locked="0" hidden="1"/>
    </xf>
    <xf numFmtId="0" fontId="26" fillId="3" borderId="0" xfId="0" applyFont="1" applyFill="1" applyAlignment="1" applyProtection="1">
      <alignment horizontal="left" vertical="center"/>
      <protection hidden="1"/>
    </xf>
    <xf numFmtId="0" fontId="27" fillId="5" borderId="0" xfId="0" applyFont="1" applyFill="1" applyAlignment="1" applyProtection="1">
      <alignment horizontal="center" vertical="center"/>
      <protection locked="0" hidden="1"/>
    </xf>
    <xf numFmtId="0" fontId="19" fillId="3" borderId="0" xfId="0" applyFont="1" applyFill="1" applyAlignment="1" applyProtection="1">
      <alignment horizontal="left" vertical="center"/>
      <protection hidden="1"/>
    </xf>
    <xf numFmtId="0" fontId="25" fillId="4" borderId="0" xfId="0" applyFont="1" applyFill="1" applyAlignment="1" applyProtection="1">
      <alignment horizontal="center" vertical="center"/>
      <protection hidden="1"/>
    </xf>
    <xf numFmtId="0" fontId="19" fillId="3" borderId="0" xfId="0" applyFont="1" applyFill="1" applyBorder="1" applyAlignment="1" applyProtection="1">
      <alignment horizontal="center" vertical="center"/>
      <protection hidden="1"/>
    </xf>
    <xf numFmtId="0" fontId="9" fillId="3" borderId="0" xfId="0" applyFont="1" applyFill="1" applyProtection="1">
      <protection hidden="1"/>
    </xf>
    <xf numFmtId="0" fontId="14" fillId="3" borderId="0" xfId="0" applyFont="1" applyFill="1" applyAlignment="1" applyProtection="1">
      <alignment vertical="center"/>
      <protection locked="0" hidden="1"/>
    </xf>
    <xf numFmtId="0" fontId="10" fillId="3" borderId="0" xfId="0" applyFont="1" applyFill="1" applyProtection="1">
      <protection locked="0" hidden="1"/>
    </xf>
    <xf numFmtId="0" fontId="14" fillId="4" borderId="0" xfId="0" applyFont="1" applyFill="1" applyProtection="1">
      <protection locked="0" hidden="1"/>
    </xf>
    <xf numFmtId="0" fontId="10" fillId="4" borderId="0" xfId="0" applyFont="1" applyFill="1" applyProtection="1">
      <protection locked="0" hidden="1"/>
    </xf>
    <xf numFmtId="0" fontId="14" fillId="4" borderId="0" xfId="0" applyFont="1" applyFill="1" applyAlignment="1" applyProtection="1">
      <alignment vertical="center"/>
      <protection locked="0" hidden="1"/>
    </xf>
    <xf numFmtId="0" fontId="14" fillId="4" borderId="0" xfId="0" applyFont="1" applyFill="1" applyAlignment="1" applyProtection="1">
      <alignment wrapText="1"/>
      <protection locked="0" hidden="1"/>
    </xf>
    <xf numFmtId="0" fontId="9" fillId="3" borderId="0" xfId="0" applyFont="1" applyFill="1" applyProtection="1">
      <protection locked="0" hidden="1"/>
    </xf>
    <xf numFmtId="0" fontId="9" fillId="4" borderId="0" xfId="0" applyFont="1" applyFill="1" applyProtection="1">
      <protection locked="0" hidden="1"/>
    </xf>
    <xf numFmtId="0" fontId="9" fillId="3" borderId="0" xfId="0" applyFont="1" applyFill="1" applyAlignment="1" applyProtection="1">
      <alignment vertical="center"/>
      <protection locked="0" hidden="1"/>
    </xf>
    <xf numFmtId="0" fontId="3" fillId="0" borderId="0" xfId="2" applyFont="1" applyProtection="1">
      <protection hidden="1"/>
    </xf>
    <xf numFmtId="0" fontId="9" fillId="4" borderId="0" xfId="0" applyFont="1" applyFill="1" applyAlignment="1" applyProtection="1">
      <alignment horizontal="right" vertical="center"/>
      <protection locked="0" hidden="1"/>
    </xf>
    <xf numFmtId="165" fontId="9" fillId="4" borderId="0" xfId="0" applyNumberFormat="1" applyFont="1" applyFill="1" applyAlignment="1" applyProtection="1">
      <alignment horizontal="right" vertical="center"/>
      <protection locked="0" hidden="1"/>
    </xf>
    <xf numFmtId="0" fontId="17" fillId="4" borderId="0" xfId="0" applyFont="1" applyFill="1" applyAlignment="1" applyProtection="1">
      <alignment vertical="top"/>
      <protection locked="0" hidden="1"/>
    </xf>
    <xf numFmtId="0" fontId="28" fillId="4" borderId="0" xfId="0" applyFont="1" applyFill="1" applyAlignment="1" applyProtection="1">
      <alignment horizontal="left" vertical="center"/>
      <protection locked="0" hidden="1"/>
    </xf>
    <xf numFmtId="0" fontId="9" fillId="4" borderId="0" xfId="0" applyFont="1" applyFill="1" applyAlignment="1" applyProtection="1">
      <alignment vertical="center"/>
      <protection locked="0" hidden="1"/>
    </xf>
    <xf numFmtId="0" fontId="9" fillId="4" borderId="0" xfId="0" applyFont="1" applyFill="1" applyAlignment="1" applyProtection="1">
      <alignment horizontal="left" vertical="center"/>
      <protection hidden="1"/>
    </xf>
    <xf numFmtId="0" fontId="13" fillId="6" borderId="0" xfId="0" applyFont="1" applyFill="1" applyAlignment="1" applyProtection="1">
      <alignment horizontal="center" vertical="center"/>
      <protection locked="0" hidden="1"/>
    </xf>
    <xf numFmtId="0" fontId="9" fillId="4" borderId="0" xfId="0" applyFont="1" applyFill="1" applyAlignment="1" applyProtection="1">
      <alignment horizontal="left" vertical="center"/>
      <protection locked="0" hidden="1"/>
    </xf>
    <xf numFmtId="0" fontId="9" fillId="3" borderId="0" xfId="0" applyFont="1" applyFill="1" applyAlignment="1" applyProtection="1">
      <alignment vertical="center" wrapText="1"/>
      <protection hidden="1"/>
    </xf>
    <xf numFmtId="0" fontId="9" fillId="3" borderId="0" xfId="0" applyFont="1" applyFill="1" applyAlignment="1" applyProtection="1">
      <alignment vertical="center" wrapText="1"/>
      <protection locked="0" hidden="1"/>
    </xf>
    <xf numFmtId="0" fontId="29" fillId="4" borderId="0" xfId="0" applyFont="1" applyFill="1" applyAlignment="1" applyProtection="1">
      <alignment horizontal="center" vertical="center" wrapText="1"/>
      <protection locked="0" hidden="1"/>
    </xf>
    <xf numFmtId="0" fontId="14" fillId="4" borderId="0" xfId="0" applyFont="1" applyFill="1" applyAlignment="1" applyProtection="1">
      <alignment horizontal="center"/>
      <protection locked="0" hidden="1"/>
    </xf>
    <xf numFmtId="164" fontId="14" fillId="5" borderId="0" xfId="0" applyNumberFormat="1" applyFont="1" applyFill="1" applyAlignment="1" applyProtection="1">
      <alignment horizontal="center"/>
      <protection locked="0" hidden="1"/>
    </xf>
    <xf numFmtId="0" fontId="20" fillId="0" borderId="0" xfId="0" applyFont="1" applyFill="1" applyProtection="1">
      <protection hidden="1"/>
    </xf>
    <xf numFmtId="164" fontId="20" fillId="0" borderId="0" xfId="0" applyNumberFormat="1" applyFont="1" applyFill="1" applyAlignment="1" applyProtection="1">
      <alignment horizontal="center"/>
      <protection hidden="1"/>
    </xf>
    <xf numFmtId="0" fontId="20" fillId="5" borderId="0" xfId="0" applyFont="1" applyFill="1" applyProtection="1">
      <protection hidden="1"/>
    </xf>
    <xf numFmtId="164" fontId="20" fillId="5" borderId="0" xfId="0" applyNumberFormat="1" applyFont="1" applyFill="1" applyAlignment="1" applyProtection="1">
      <alignment horizontal="center"/>
      <protection hidden="1"/>
    </xf>
    <xf numFmtId="164" fontId="14" fillId="0" borderId="0" xfId="0" applyNumberFormat="1" applyFont="1" applyFill="1" applyAlignment="1" applyProtection="1">
      <alignment horizontal="center"/>
      <protection locked="0" hidden="1"/>
    </xf>
    <xf numFmtId="0" fontId="33" fillId="4" borderId="0" xfId="0" applyFont="1" applyFill="1" applyAlignment="1" applyProtection="1">
      <alignment horizontal="left"/>
      <protection hidden="1"/>
    </xf>
    <xf numFmtId="0" fontId="14" fillId="4" borderId="0" xfId="0" applyFont="1" applyFill="1" applyAlignment="1" applyProtection="1">
      <alignment horizontal="left"/>
      <protection locked="0"/>
    </xf>
    <xf numFmtId="0" fontId="2" fillId="4" borderId="0" xfId="2" applyFont="1" applyFill="1" applyProtection="1">
      <protection locked="0"/>
    </xf>
    <xf numFmtId="0" fontId="14" fillId="0" borderId="0" xfId="0" applyFont="1" applyFill="1" applyProtection="1">
      <protection locked="0"/>
    </xf>
    <xf numFmtId="0" fontId="14" fillId="4" borderId="0" xfId="0" applyFont="1" applyFill="1" applyProtection="1">
      <protection locked="0"/>
    </xf>
    <xf numFmtId="0" fontId="16" fillId="4" borderId="0" xfId="0" applyFont="1" applyFill="1" applyAlignment="1" applyProtection="1">
      <protection hidden="1"/>
    </xf>
    <xf numFmtId="0" fontId="16" fillId="4" borderId="0" xfId="0" applyFont="1" applyFill="1" applyProtection="1">
      <protection locked="0"/>
    </xf>
    <xf numFmtId="9" fontId="15" fillId="4" borderId="0" xfId="0" applyNumberFormat="1" applyFont="1" applyFill="1" applyAlignment="1" applyProtection="1">
      <alignment horizontal="center"/>
      <protection locked="0"/>
    </xf>
    <xf numFmtId="0" fontId="13" fillId="4" borderId="0" xfId="0" applyFont="1" applyFill="1" applyAlignment="1" applyProtection="1">
      <alignment horizontal="center"/>
      <protection hidden="1"/>
    </xf>
    <xf numFmtId="0" fontId="15" fillId="7" borderId="0" xfId="0" applyFont="1" applyFill="1" applyAlignment="1" applyProtection="1">
      <alignment horizontal="left" vertical="center"/>
      <protection hidden="1"/>
    </xf>
    <xf numFmtId="0" fontId="14" fillId="4" borderId="0" xfId="0" applyFont="1" applyFill="1" applyProtection="1">
      <protection locked="0"/>
    </xf>
    <xf numFmtId="0" fontId="8" fillId="3" borderId="0" xfId="0" applyFont="1" applyFill="1" applyAlignment="1" applyProtection="1">
      <alignment horizontal="left"/>
      <protection hidden="1"/>
    </xf>
    <xf numFmtId="0" fontId="14" fillId="4" borderId="0" xfId="0" applyFont="1" applyFill="1" applyProtection="1">
      <protection locked="0"/>
    </xf>
    <xf numFmtId="0" fontId="15" fillId="7" borderId="0" xfId="0" applyFont="1" applyFill="1" applyAlignment="1" applyProtection="1">
      <alignment horizontal="left" vertical="center"/>
      <protection hidden="1"/>
    </xf>
    <xf numFmtId="0" fontId="8" fillId="3" borderId="0" xfId="0" applyFont="1" applyFill="1" applyAlignment="1" applyProtection="1">
      <alignment horizontal="left"/>
      <protection hidden="1"/>
    </xf>
    <xf numFmtId="0" fontId="14" fillId="11" borderId="0" xfId="0" applyFont="1" applyFill="1" applyAlignment="1" applyProtection="1">
      <alignment horizontal="center" vertical="center"/>
      <protection locked="0" hidden="1"/>
    </xf>
    <xf numFmtId="0" fontId="14" fillId="5" borderId="0" xfId="0" applyFont="1" applyFill="1" applyAlignment="1" applyProtection="1">
      <alignment horizontal="left" vertical="center"/>
      <protection hidden="1"/>
    </xf>
    <xf numFmtId="0" fontId="14" fillId="3" borderId="0" xfId="0" applyFont="1" applyFill="1" applyAlignment="1" applyProtection="1">
      <alignment horizontal="left" vertical="center"/>
      <protection hidden="1"/>
    </xf>
    <xf numFmtId="0" fontId="41" fillId="5" borderId="0" xfId="0" applyFont="1" applyFill="1" applyAlignment="1" applyProtection="1">
      <alignment horizontal="center" vertical="center"/>
      <protection hidden="1"/>
    </xf>
    <xf numFmtId="0" fontId="41" fillId="5" borderId="0" xfId="0" applyFont="1" applyFill="1" applyAlignment="1" applyProtection="1">
      <alignment vertical="center"/>
      <protection hidden="1"/>
    </xf>
    <xf numFmtId="0" fontId="41" fillId="5" borderId="0" xfId="0" applyFont="1" applyFill="1" applyAlignment="1" applyProtection="1">
      <alignment vertical="center"/>
      <protection locked="0" hidden="1"/>
    </xf>
    <xf numFmtId="0" fontId="24" fillId="7" borderId="0" xfId="0" applyFont="1" applyFill="1" applyAlignment="1" applyProtection="1">
      <alignment horizontal="center" vertical="center"/>
      <protection hidden="1"/>
    </xf>
    <xf numFmtId="0" fontId="21" fillId="8" borderId="0" xfId="0" applyFont="1" applyFill="1" applyAlignment="1" applyProtection="1">
      <alignment horizontal="center"/>
      <protection hidden="1"/>
    </xf>
    <xf numFmtId="0" fontId="14" fillId="4" borderId="0" xfId="0" applyFont="1" applyFill="1" applyProtection="1">
      <protection locked="0"/>
    </xf>
    <xf numFmtId="0" fontId="8" fillId="3" borderId="0" xfId="0" applyFont="1" applyFill="1" applyAlignment="1" applyProtection="1">
      <alignment horizontal="left"/>
      <protection hidden="1"/>
    </xf>
    <xf numFmtId="0" fontId="14" fillId="5" borderId="0" xfId="0" applyFont="1" applyFill="1" applyAlignment="1" applyProtection="1">
      <protection locked="0" hidden="1"/>
    </xf>
    <xf numFmtId="0" fontId="9" fillId="0" borderId="0" xfId="0" applyFont="1" applyAlignment="1" applyProtection="1">
      <protection locked="0"/>
    </xf>
    <xf numFmtId="0" fontId="9" fillId="4" borderId="0" xfId="0" applyFont="1" applyFill="1"/>
    <xf numFmtId="0" fontId="14" fillId="3" borderId="0" xfId="0" applyFont="1" applyFill="1" applyAlignment="1" applyProtection="1">
      <protection hidden="1"/>
    </xf>
    <xf numFmtId="6" fontId="9" fillId="10" borderId="0" xfId="0" quotePrefix="1" applyNumberFormat="1" applyFont="1" applyFill="1" applyAlignment="1" applyProtection="1">
      <alignment horizontal="center"/>
      <protection locked="0" hidden="1"/>
    </xf>
    <xf numFmtId="0" fontId="14" fillId="3" borderId="0" xfId="0" applyFont="1" applyFill="1" applyAlignment="1" applyProtection="1">
      <alignment horizontal="right" vertical="center"/>
      <protection locked="0" hidden="1"/>
    </xf>
    <xf numFmtId="6" fontId="9" fillId="5" borderId="0" xfId="0" quotePrefix="1" applyNumberFormat="1" applyFont="1" applyFill="1" applyAlignment="1" applyProtection="1">
      <alignment horizontal="center"/>
      <protection locked="0" hidden="1"/>
    </xf>
    <xf numFmtId="0" fontId="14" fillId="5" borderId="0" xfId="0" applyFont="1" applyFill="1" applyAlignment="1" applyProtection="1">
      <alignment horizontal="right" vertical="center"/>
      <protection locked="0" hidden="1"/>
    </xf>
    <xf numFmtId="0" fontId="29" fillId="8" borderId="0" xfId="0" applyFont="1" applyFill="1" applyAlignment="1" applyProtection="1">
      <alignment vertical="center"/>
      <protection locked="0" hidden="1"/>
    </xf>
    <xf numFmtId="6" fontId="9" fillId="10" borderId="0" xfId="0" applyNumberFormat="1" applyFont="1" applyFill="1" applyAlignment="1" applyProtection="1">
      <alignment horizontal="center"/>
      <protection locked="0" hidden="1"/>
    </xf>
    <xf numFmtId="0" fontId="14" fillId="5" borderId="0" xfId="0" applyFont="1" applyFill="1" applyAlignment="1" applyProtection="1">
      <protection locked="0" hidden="1"/>
    </xf>
    <xf numFmtId="0" fontId="14" fillId="4" borderId="0" xfId="0" applyFont="1" applyFill="1" applyAlignment="1" applyProtection="1">
      <protection locked="0" hidden="1"/>
    </xf>
    <xf numFmtId="8" fontId="43" fillId="5" borderId="0" xfId="0" applyNumberFormat="1" applyFont="1" applyFill="1" applyAlignment="1" applyProtection="1">
      <protection hidden="1"/>
    </xf>
    <xf numFmtId="0" fontId="9" fillId="5" borderId="0" xfId="0" applyFont="1" applyFill="1" applyAlignment="1" applyProtection="1">
      <protection hidden="1"/>
    </xf>
    <xf numFmtId="0" fontId="14" fillId="0" borderId="0" xfId="0" applyFont="1" applyFill="1" applyAlignment="1" applyProtection="1">
      <alignment horizontal="left"/>
      <protection locked="0" hidden="1"/>
    </xf>
    <xf numFmtId="0" fontId="14" fillId="5" borderId="0" xfId="0" applyFont="1" applyFill="1" applyAlignment="1" applyProtection="1">
      <alignment horizontal="left"/>
      <protection locked="0" hidden="1"/>
    </xf>
    <xf numFmtId="0" fontId="14" fillId="3" borderId="0" xfId="0" applyFont="1" applyFill="1" applyAlignment="1" applyProtection="1">
      <alignment vertical="center"/>
      <protection hidden="1"/>
    </xf>
    <xf numFmtId="0" fontId="1" fillId="4" borderId="0" xfId="2" applyFont="1" applyFill="1"/>
    <xf numFmtId="0" fontId="1" fillId="4" borderId="0" xfId="2" applyFont="1" applyFill="1" applyProtection="1">
      <protection locked="0"/>
    </xf>
    <xf numFmtId="0" fontId="1" fillId="4" borderId="0" xfId="2" applyFont="1" applyFill="1" applyProtection="1">
      <protection hidden="1"/>
    </xf>
    <xf numFmtId="0" fontId="1" fillId="4" borderId="0" xfId="0" applyFont="1" applyFill="1" applyProtection="1">
      <protection hidden="1"/>
    </xf>
    <xf numFmtId="0" fontId="14" fillId="3" borderId="0" xfId="0" applyFont="1" applyFill="1" applyAlignment="1" applyProtection="1">
      <alignment vertical="top" wrapText="1"/>
      <protection locked="0" hidden="1"/>
    </xf>
    <xf numFmtId="0" fontId="15" fillId="5" borderId="0" xfId="0" applyFont="1" applyFill="1" applyAlignment="1" applyProtection="1">
      <alignment horizontal="center"/>
      <protection locked="0" hidden="1"/>
    </xf>
    <xf numFmtId="0" fontId="16" fillId="4" borderId="0" xfId="0" applyFont="1" applyFill="1" applyAlignment="1" applyProtection="1">
      <alignment horizontal="left"/>
      <protection hidden="1"/>
    </xf>
    <xf numFmtId="0" fontId="16" fillId="4" borderId="0" xfId="0" applyFont="1" applyFill="1"/>
    <xf numFmtId="0" fontId="16" fillId="4" borderId="0" xfId="0" applyFont="1" applyFill="1" applyProtection="1"/>
    <xf numFmtId="0" fontId="16" fillId="4" borderId="0" xfId="0" applyFont="1" applyFill="1" applyProtection="1">
      <protection hidden="1"/>
    </xf>
    <xf numFmtId="0" fontId="16" fillId="4" borderId="0" xfId="0" applyFont="1" applyFill="1" applyAlignment="1" applyProtection="1">
      <alignment horizontal="left" vertical="center"/>
      <protection hidden="1"/>
    </xf>
    <xf numFmtId="14" fontId="16" fillId="4" borderId="0" xfId="0" applyNumberFormat="1" applyFont="1" applyFill="1" applyProtection="1"/>
    <xf numFmtId="0" fontId="16" fillId="4" borderId="0" xfId="0" applyFont="1" applyFill="1" applyAlignment="1" applyProtection="1">
      <alignment horizontal="center"/>
    </xf>
    <xf numFmtId="0" fontId="16" fillId="4" borderId="0" xfId="0" quotePrefix="1" applyFont="1" applyFill="1" applyProtection="1">
      <protection hidden="1"/>
    </xf>
    <xf numFmtId="0" fontId="16" fillId="4" borderId="0" xfId="0" applyFont="1" applyFill="1" applyAlignment="1" applyProtection="1">
      <alignment horizontal="center"/>
      <protection hidden="1"/>
    </xf>
    <xf numFmtId="0" fontId="16" fillId="4" borderId="0" xfId="0" applyFont="1" applyFill="1" applyAlignment="1" applyProtection="1">
      <alignment vertical="center"/>
      <protection hidden="1"/>
    </xf>
    <xf numFmtId="0" fontId="16" fillId="4" borderId="0" xfId="0" applyNumberFormat="1" applyFont="1" applyFill="1" applyAlignment="1" applyProtection="1">
      <alignment horizontal="center"/>
      <protection hidden="1"/>
    </xf>
    <xf numFmtId="0" fontId="16" fillId="4" borderId="0" xfId="0" applyNumberFormat="1" applyFont="1" applyFill="1" applyProtection="1">
      <protection locked="0"/>
    </xf>
    <xf numFmtId="6" fontId="16" fillId="4" borderId="0" xfId="0" applyNumberFormat="1" applyFont="1" applyFill="1" applyProtection="1">
      <protection locked="0"/>
    </xf>
    <xf numFmtId="6" fontId="16" fillId="4" borderId="0" xfId="0" applyNumberFormat="1" applyFont="1" applyFill="1" applyProtection="1">
      <protection hidden="1"/>
    </xf>
    <xf numFmtId="0" fontId="16" fillId="4" borderId="1" xfId="0" applyNumberFormat="1" applyFont="1" applyFill="1" applyBorder="1" applyProtection="1">
      <protection locked="0"/>
    </xf>
    <xf numFmtId="6" fontId="16" fillId="4" borderId="1" xfId="0" applyNumberFormat="1" applyFont="1" applyFill="1" applyBorder="1" applyProtection="1">
      <protection locked="0"/>
    </xf>
    <xf numFmtId="6" fontId="16" fillId="4" borderId="1" xfId="0" applyNumberFormat="1" applyFont="1" applyFill="1" applyBorder="1" applyProtection="1">
      <protection hidden="1"/>
    </xf>
    <xf numFmtId="8" fontId="16" fillId="4" borderId="0" xfId="0" applyNumberFormat="1" applyFont="1" applyFill="1" applyProtection="1">
      <protection locked="0"/>
    </xf>
    <xf numFmtId="167" fontId="16" fillId="4" borderId="0" xfId="0" applyNumberFormat="1" applyFont="1" applyFill="1" applyProtection="1">
      <protection hidden="1"/>
    </xf>
    <xf numFmtId="0" fontId="16" fillId="4" borderId="0" xfId="0" applyFont="1" applyFill="1" applyAlignment="1" applyProtection="1">
      <alignment horizontal="right" vertical="center"/>
      <protection hidden="1"/>
    </xf>
    <xf numFmtId="3" fontId="16" fillId="4" borderId="0" xfId="0" applyNumberFormat="1" applyFont="1" applyFill="1" applyAlignment="1" applyProtection="1">
      <alignment horizontal="center" vertical="center"/>
      <protection hidden="1"/>
    </xf>
    <xf numFmtId="0" fontId="16" fillId="4" borderId="0" xfId="0" applyFont="1" applyFill="1" applyAlignment="1" applyProtection="1">
      <alignment horizontal="left"/>
      <protection locked="0" hidden="1"/>
    </xf>
    <xf numFmtId="0" fontId="16" fillId="4" borderId="0" xfId="0" applyFont="1" applyFill="1" applyAlignment="1" applyProtection="1">
      <alignment horizontal="left"/>
      <protection locked="0"/>
    </xf>
    <xf numFmtId="0" fontId="29" fillId="4" borderId="0" xfId="0" applyFont="1" applyFill="1" applyProtection="1">
      <protection locked="0"/>
    </xf>
    <xf numFmtId="0" fontId="16" fillId="4" borderId="0" xfId="0" applyFont="1" applyFill="1" applyAlignment="1" applyProtection="1">
      <alignment horizontal="center"/>
      <protection locked="0"/>
    </xf>
    <xf numFmtId="14" fontId="16" fillId="4" borderId="0" xfId="0" applyNumberFormat="1" applyFont="1" applyFill="1" applyProtection="1">
      <protection locked="0"/>
    </xf>
    <xf numFmtId="0" fontId="16" fillId="4" borderId="0" xfId="0" applyFont="1" applyFill="1" applyAlignment="1" applyProtection="1">
      <alignment horizontal="center" vertical="center"/>
      <protection locked="0"/>
    </xf>
    <xf numFmtId="14" fontId="16" fillId="4" borderId="0" xfId="0" applyNumberFormat="1" applyFont="1" applyFill="1" applyAlignment="1" applyProtection="1">
      <alignment vertical="center"/>
      <protection locked="0"/>
    </xf>
    <xf numFmtId="0" fontId="16" fillId="4" borderId="0" xfId="0" applyFont="1" applyFill="1" applyAlignment="1" applyProtection="1">
      <alignment vertical="center"/>
      <protection locked="0"/>
    </xf>
    <xf numFmtId="0" fontId="16" fillId="4" borderId="0" xfId="0" applyNumberFormat="1" applyFont="1" applyFill="1" applyAlignment="1" applyProtection="1">
      <alignment vertical="center"/>
      <protection locked="0"/>
    </xf>
    <xf numFmtId="0" fontId="16" fillId="4" borderId="0" xfId="0" applyFont="1" applyFill="1" applyAlignment="1" applyProtection="1">
      <protection locked="0"/>
    </xf>
    <xf numFmtId="0" fontId="16" fillId="4" borderId="1" xfId="0" applyFont="1" applyFill="1" applyBorder="1" applyAlignment="1" applyProtection="1">
      <alignment horizontal="center"/>
      <protection locked="0"/>
    </xf>
    <xf numFmtId="0" fontId="16" fillId="4" borderId="0" xfId="0" applyFont="1" applyFill="1" applyAlignment="1" applyProtection="1">
      <alignment horizontal="center" vertical="center"/>
      <protection hidden="1"/>
    </xf>
    <xf numFmtId="0" fontId="16" fillId="4" borderId="0" xfId="0" quotePrefix="1" applyFont="1" applyFill="1" applyAlignment="1" applyProtection="1">
      <alignment horizontal="left"/>
      <protection hidden="1"/>
    </xf>
    <xf numFmtId="0" fontId="16" fillId="4" borderId="1" xfId="0" applyFont="1" applyFill="1" applyBorder="1" applyAlignment="1" applyProtection="1">
      <alignment vertical="center"/>
      <protection hidden="1"/>
    </xf>
    <xf numFmtId="0" fontId="16" fillId="4" borderId="0" xfId="0" applyNumberFormat="1" applyFont="1" applyFill="1" applyAlignment="1" applyProtection="1">
      <alignment horizontal="center" vertical="center"/>
      <protection hidden="1"/>
    </xf>
    <xf numFmtId="0" fontId="16" fillId="4" borderId="0" xfId="0" applyFont="1" applyFill="1" applyAlignment="1" applyProtection="1">
      <alignment horizontal="right"/>
      <protection hidden="1"/>
    </xf>
    <xf numFmtId="164" fontId="16" fillId="4" borderId="0" xfId="0" applyNumberFormat="1" applyFont="1" applyFill="1" applyProtection="1">
      <protection hidden="1"/>
    </xf>
    <xf numFmtId="9" fontId="16" fillId="4" borderId="0" xfId="0" applyNumberFormat="1" applyFont="1" applyFill="1" applyProtection="1">
      <protection hidden="1"/>
    </xf>
    <xf numFmtId="164" fontId="16" fillId="4" borderId="0" xfId="0" applyNumberFormat="1" applyFont="1" applyFill="1" applyAlignment="1" applyProtection="1">
      <alignment horizontal="center"/>
      <protection hidden="1"/>
    </xf>
    <xf numFmtId="0" fontId="16" fillId="4" borderId="0" xfId="0" applyNumberFormat="1" applyFont="1" applyFill="1" applyProtection="1">
      <protection hidden="1"/>
    </xf>
    <xf numFmtId="0" fontId="29" fillId="4" borderId="0" xfId="0" applyFont="1" applyFill="1" applyAlignment="1" applyProtection="1">
      <protection hidden="1"/>
    </xf>
    <xf numFmtId="0" fontId="29" fillId="4" borderId="0" xfId="0" applyFont="1" applyFill="1" applyAlignment="1" applyProtection="1">
      <alignment horizontal="left"/>
      <protection hidden="1"/>
    </xf>
    <xf numFmtId="9" fontId="16" fillId="4" borderId="0" xfId="0" applyNumberFormat="1" applyFont="1" applyFill="1" applyAlignment="1" applyProtection="1">
      <protection locked="0" hidden="1"/>
    </xf>
    <xf numFmtId="9" fontId="16" fillId="4" borderId="0" xfId="0" applyNumberFormat="1" applyFont="1" applyFill="1" applyAlignment="1" applyProtection="1">
      <protection hidden="1"/>
    </xf>
    <xf numFmtId="9" fontId="16" fillId="4" borderId="0" xfId="0" applyNumberFormat="1" applyFont="1" applyFill="1" applyProtection="1">
      <protection locked="0"/>
    </xf>
    <xf numFmtId="164" fontId="16" fillId="4" borderId="0" xfId="0" applyNumberFormat="1" applyFont="1" applyFill="1" applyProtection="1">
      <protection locked="0"/>
    </xf>
    <xf numFmtId="0" fontId="29" fillId="4" borderId="0" xfId="0" applyFont="1" applyFill="1" applyProtection="1">
      <protection hidden="1"/>
    </xf>
    <xf numFmtId="0" fontId="45" fillId="4" borderId="0" xfId="1" applyFont="1" applyFill="1" applyAlignment="1" applyProtection="1">
      <protection hidden="1"/>
    </xf>
    <xf numFmtId="0" fontId="16" fillId="4" borderId="1" xfId="0" applyFont="1" applyFill="1" applyBorder="1" applyProtection="1">
      <protection hidden="1"/>
    </xf>
    <xf numFmtId="0" fontId="16" fillId="4" borderId="1" xfId="0" applyNumberFormat="1" applyFont="1" applyFill="1" applyBorder="1" applyProtection="1">
      <protection hidden="1"/>
    </xf>
    <xf numFmtId="0" fontId="16" fillId="4" borderId="0" xfId="0" applyFont="1" applyFill="1" applyBorder="1" applyProtection="1">
      <protection hidden="1"/>
    </xf>
    <xf numFmtId="9" fontId="16" fillId="4" borderId="0" xfId="0" applyNumberFormat="1" applyFont="1" applyFill="1" applyBorder="1" applyProtection="1">
      <protection hidden="1"/>
    </xf>
    <xf numFmtId="164" fontId="16" fillId="4" borderId="0" xfId="0" applyNumberFormat="1" applyFont="1" applyFill="1" applyBorder="1" applyProtection="1">
      <protection hidden="1"/>
    </xf>
    <xf numFmtId="9" fontId="16" fillId="4" borderId="1" xfId="0" applyNumberFormat="1" applyFont="1" applyFill="1" applyBorder="1" applyProtection="1">
      <protection hidden="1"/>
    </xf>
    <xf numFmtId="164" fontId="16" fillId="4" borderId="1" xfId="0" applyNumberFormat="1" applyFont="1" applyFill="1" applyBorder="1" applyProtection="1">
      <protection hidden="1"/>
    </xf>
    <xf numFmtId="0" fontId="44" fillId="4" borderId="0" xfId="2" applyFont="1" applyFill="1" applyProtection="1">
      <protection hidden="1"/>
    </xf>
    <xf numFmtId="0" fontId="40" fillId="4" borderId="0" xfId="2" applyFont="1" applyFill="1" applyProtection="1">
      <protection hidden="1"/>
    </xf>
    <xf numFmtId="0" fontId="40" fillId="4" borderId="0" xfId="2" applyFont="1" applyFill="1" applyAlignment="1" applyProtection="1">
      <protection hidden="1"/>
    </xf>
    <xf numFmtId="0" fontId="40" fillId="4" borderId="0" xfId="3" applyFont="1" applyFill="1" applyProtection="1">
      <protection hidden="1"/>
    </xf>
    <xf numFmtId="0" fontId="40" fillId="4" borderId="0" xfId="2" applyFont="1" applyFill="1" applyAlignment="1" applyProtection="1">
      <alignment vertical="top" wrapText="1"/>
      <protection hidden="1"/>
    </xf>
    <xf numFmtId="0" fontId="40" fillId="4" borderId="0" xfId="3" applyFont="1" applyFill="1" applyAlignment="1" applyProtection="1">
      <alignment horizontal="left" vertical="center"/>
      <protection hidden="1"/>
    </xf>
    <xf numFmtId="0" fontId="40" fillId="4" borderId="0" xfId="3" applyFont="1" applyFill="1" applyAlignment="1" applyProtection="1">
      <alignment vertical="center"/>
      <protection hidden="1"/>
    </xf>
    <xf numFmtId="0" fontId="40" fillId="4" borderId="0" xfId="3" quotePrefix="1" applyFont="1" applyFill="1" applyProtection="1">
      <protection hidden="1"/>
    </xf>
    <xf numFmtId="0" fontId="16" fillId="4" borderId="1" xfId="0" applyFont="1" applyFill="1" applyBorder="1" applyAlignment="1" applyProtection="1">
      <alignment horizontal="center"/>
      <protection hidden="1"/>
    </xf>
    <xf numFmtId="0" fontId="40" fillId="4" borderId="0" xfId="0" applyFont="1" applyFill="1" applyProtection="1">
      <protection hidden="1"/>
    </xf>
    <xf numFmtId="0" fontId="6" fillId="4" borderId="0" xfId="1" applyFill="1" applyAlignment="1" applyProtection="1">
      <alignment horizontal="left"/>
      <protection hidden="1"/>
    </xf>
    <xf numFmtId="0" fontId="39" fillId="4" borderId="0" xfId="2" applyFont="1" applyFill="1" applyAlignment="1" applyProtection="1">
      <alignment horizontal="left"/>
      <protection locked="0"/>
    </xf>
    <xf numFmtId="0" fontId="13" fillId="4" borderId="0" xfId="0" applyFont="1" applyFill="1" applyAlignment="1" applyProtection="1">
      <alignment horizontal="center" vertical="center" wrapText="1"/>
      <protection hidden="1"/>
    </xf>
    <xf numFmtId="0" fontId="1" fillId="4" borderId="0" xfId="2" applyFont="1" applyFill="1" applyAlignment="1" applyProtection="1">
      <alignment horizontal="left" vertical="top" wrapText="1"/>
      <protection hidden="1"/>
    </xf>
    <xf numFmtId="0" fontId="14" fillId="4" borderId="0" xfId="0" applyFont="1" applyFill="1" applyAlignment="1" applyProtection="1">
      <alignment horizontal="left" wrapText="1"/>
      <protection hidden="1"/>
    </xf>
    <xf numFmtId="164" fontId="38" fillId="4" borderId="0" xfId="0" applyNumberFormat="1" applyFont="1" applyFill="1" applyAlignment="1" applyProtection="1">
      <alignment horizontal="right" vertical="center"/>
      <protection hidden="1"/>
    </xf>
    <xf numFmtId="0" fontId="38" fillId="4" borderId="0" xfId="0" applyFont="1" applyFill="1" applyAlignment="1" applyProtection="1">
      <alignment horizontal="right" vertical="center"/>
      <protection hidden="1"/>
    </xf>
    <xf numFmtId="0" fontId="14" fillId="4" borderId="0" xfId="0" applyFont="1" applyFill="1" applyAlignment="1" applyProtection="1">
      <alignment horizontal="left" vertical="top" wrapText="1"/>
      <protection locked="0" hidden="1"/>
    </xf>
    <xf numFmtId="0" fontId="24" fillId="7" borderId="0" xfId="0" applyFont="1" applyFill="1" applyAlignment="1" applyProtection="1">
      <alignment horizontal="center" vertical="center"/>
      <protection hidden="1"/>
    </xf>
    <xf numFmtId="0" fontId="14" fillId="0" borderId="0" xfId="0" applyFont="1" applyFill="1" applyAlignment="1" applyProtection="1">
      <alignment horizontal="left"/>
      <protection locked="0" hidden="1"/>
    </xf>
    <xf numFmtId="0" fontId="9" fillId="0" borderId="0" xfId="0" applyFont="1" applyFill="1" applyAlignment="1" applyProtection="1">
      <alignment horizontal="left"/>
      <protection locked="0" hidden="1"/>
    </xf>
    <xf numFmtId="3" fontId="9" fillId="5" borderId="0" xfId="0" applyNumberFormat="1" applyFont="1" applyFill="1" applyAlignment="1" applyProtection="1">
      <alignment horizontal="right"/>
      <protection locked="0" hidden="1"/>
    </xf>
    <xf numFmtId="0" fontId="16" fillId="0" borderId="0" xfId="0" applyFont="1" applyFill="1" applyAlignment="1" applyProtection="1">
      <alignment horizontal="left"/>
      <protection locked="0" hidden="1"/>
    </xf>
    <xf numFmtId="0" fontId="9" fillId="5" borderId="0" xfId="0" applyFont="1" applyFill="1" applyAlignment="1" applyProtection="1">
      <alignment horizontal="right"/>
      <protection locked="0" hidden="1"/>
    </xf>
    <xf numFmtId="0" fontId="24" fillId="5" borderId="0" xfId="0" applyFont="1" applyFill="1" applyAlignment="1" applyProtection="1">
      <alignment horizontal="left"/>
      <protection locked="0" hidden="1"/>
    </xf>
    <xf numFmtId="0" fontId="9" fillId="5" borderId="0" xfId="0" applyFont="1" applyFill="1" applyAlignment="1" applyProtection="1">
      <protection locked="0" hidden="1"/>
    </xf>
    <xf numFmtId="0" fontId="14" fillId="5" borderId="0" xfId="0" applyFont="1" applyFill="1" applyAlignment="1" applyProtection="1">
      <protection locked="0" hidden="1"/>
    </xf>
    <xf numFmtId="0" fontId="24" fillId="7" borderId="0" xfId="0" applyFont="1" applyFill="1" applyAlignment="1" applyProtection="1">
      <alignment horizontal="center" vertical="center" wrapText="1"/>
      <protection hidden="1"/>
    </xf>
    <xf numFmtId="0" fontId="14" fillId="5" borderId="0" xfId="0" applyFont="1" applyFill="1" applyAlignment="1" applyProtection="1">
      <alignment horizontal="right"/>
      <protection locked="0" hidden="1"/>
    </xf>
    <xf numFmtId="0" fontId="14" fillId="9" borderId="0" xfId="0" applyFont="1" applyFill="1" applyAlignment="1" applyProtection="1">
      <alignment horizontal="right"/>
      <protection locked="0" hidden="1"/>
    </xf>
    <xf numFmtId="0" fontId="18" fillId="4" borderId="0" xfId="0" applyFont="1" applyFill="1" applyAlignment="1" applyProtection="1">
      <alignment horizontal="center" vertical="center" wrapText="1"/>
      <protection hidden="1"/>
    </xf>
    <xf numFmtId="0" fontId="0" fillId="4" borderId="0" xfId="0" applyFill="1" applyAlignment="1" applyProtection="1">
      <alignment horizontal="left"/>
      <protection hidden="1"/>
    </xf>
    <xf numFmtId="0" fontId="15" fillId="3" borderId="0" xfId="0" applyFont="1" applyFill="1" applyAlignment="1" applyProtection="1">
      <alignment horizontal="left"/>
      <protection hidden="1"/>
    </xf>
    <xf numFmtId="0" fontId="6" fillId="3" borderId="0" xfId="1" applyFill="1" applyAlignment="1" applyProtection="1">
      <alignment horizontal="left"/>
      <protection hidden="1"/>
    </xf>
    <xf numFmtId="0" fontId="39" fillId="4" borderId="0" xfId="2" applyFont="1" applyFill="1" applyAlignment="1" applyProtection="1">
      <alignment horizontal="left"/>
      <protection hidden="1"/>
    </xf>
    <xf numFmtId="0" fontId="1" fillId="4" borderId="0" xfId="2" applyFont="1" applyFill="1" applyAlignment="1" applyProtection="1">
      <alignment horizontal="left"/>
      <protection hidden="1"/>
    </xf>
    <xf numFmtId="0" fontId="1" fillId="4" borderId="0" xfId="2" applyFont="1" applyFill="1" applyAlignment="1" applyProtection="1">
      <alignment horizontal="left" vertical="top" wrapText="1"/>
      <protection locked="0"/>
    </xf>
    <xf numFmtId="0" fontId="11" fillId="2" borderId="0" xfId="0" applyFont="1" applyFill="1" applyAlignment="1" applyProtection="1">
      <alignment horizontal="left" vertical="center"/>
      <protection hidden="1"/>
    </xf>
    <xf numFmtId="0" fontId="14" fillId="4" borderId="0" xfId="0" applyFont="1" applyFill="1" applyAlignment="1" applyProtection="1">
      <alignment horizontal="left"/>
      <protection locked="0" hidden="1"/>
    </xf>
    <xf numFmtId="0" fontId="14" fillId="5" borderId="0" xfId="0" applyFont="1" applyFill="1" applyAlignment="1" applyProtection="1">
      <alignment horizontal="left"/>
      <protection locked="0" hidden="1"/>
    </xf>
    <xf numFmtId="0" fontId="14" fillId="0" borderId="0" xfId="0" applyFont="1" applyFill="1" applyAlignment="1" applyProtection="1">
      <protection locked="0" hidden="1"/>
    </xf>
    <xf numFmtId="0" fontId="6" fillId="4" borderId="0" xfId="1" applyFill="1" applyAlignment="1" applyProtection="1">
      <alignment horizontal="left" vertical="top"/>
      <protection locked="0"/>
    </xf>
    <xf numFmtId="0" fontId="14" fillId="3" borderId="0" xfId="0" applyFont="1" applyFill="1" applyAlignment="1" applyProtection="1">
      <alignment horizontal="left" vertical="top" wrapText="1"/>
      <protection hidden="1"/>
    </xf>
    <xf numFmtId="0" fontId="13" fillId="6" borderId="0" xfId="0" applyFont="1" applyFill="1" applyAlignment="1" applyProtection="1">
      <alignment horizontal="left" vertical="top" wrapText="1"/>
      <protection hidden="1"/>
    </xf>
    <xf numFmtId="0" fontId="12" fillId="7" borderId="0" xfId="0" applyFont="1" applyFill="1" applyAlignment="1" applyProtection="1">
      <alignment horizontal="left" vertical="center" wrapText="1"/>
      <protection hidden="1"/>
    </xf>
    <xf numFmtId="0" fontId="13" fillId="5" borderId="0" xfId="0" applyFont="1" applyFill="1" applyAlignment="1" applyProtection="1">
      <alignment horizontal="left"/>
      <protection locked="0"/>
    </xf>
    <xf numFmtId="0" fontId="16" fillId="7" borderId="0" xfId="0" applyFont="1" applyFill="1" applyAlignment="1" applyProtection="1">
      <alignment horizontal="left" vertical="center" wrapText="1"/>
      <protection locked="0" hidden="1"/>
    </xf>
    <xf numFmtId="0" fontId="20" fillId="7" borderId="0" xfId="0" applyFont="1" applyFill="1" applyAlignment="1" applyProtection="1">
      <alignment horizontal="center" vertical="center"/>
      <protection hidden="1"/>
    </xf>
    <xf numFmtId="0" fontId="16" fillId="7" borderId="0" xfId="0" applyFont="1" applyFill="1" applyAlignment="1" applyProtection="1">
      <alignment horizontal="right" vertical="center"/>
      <protection hidden="1"/>
    </xf>
    <xf numFmtId="3" fontId="9" fillId="10" borderId="0" xfId="0" applyNumberFormat="1" applyFont="1" applyFill="1" applyAlignment="1" applyProtection="1">
      <alignment horizontal="right"/>
      <protection locked="0" hidden="1"/>
    </xf>
    <xf numFmtId="3" fontId="9" fillId="5" borderId="0" xfId="0" applyNumberFormat="1" applyFont="1" applyFill="1" applyAlignment="1" applyProtection="1">
      <alignment horizontal="right"/>
      <protection hidden="1"/>
    </xf>
    <xf numFmtId="3" fontId="9" fillId="10" borderId="0" xfId="0" applyNumberFormat="1" applyFont="1" applyFill="1" applyAlignment="1" applyProtection="1">
      <alignment horizontal="right"/>
      <protection hidden="1"/>
    </xf>
    <xf numFmtId="0" fontId="9" fillId="5" borderId="0" xfId="0" applyFont="1" applyFill="1" applyAlignment="1" applyProtection="1">
      <alignment horizontal="left"/>
      <protection locked="0" hidden="1"/>
    </xf>
    <xf numFmtId="0" fontId="29" fillId="8" borderId="0" xfId="0" applyFont="1" applyFill="1" applyAlignment="1" applyProtection="1">
      <protection locked="0"/>
    </xf>
    <xf numFmtId="0" fontId="9" fillId="0" borderId="0" xfId="0" applyFont="1" applyAlignment="1" applyProtection="1">
      <alignment horizontal="left"/>
      <protection locked="0" hidden="1"/>
    </xf>
    <xf numFmtId="0" fontId="9" fillId="9" borderId="0" xfId="0" applyFont="1" applyFill="1" applyAlignment="1" applyProtection="1">
      <alignment horizontal="right"/>
      <protection locked="0" hidden="1"/>
    </xf>
    <xf numFmtId="0" fontId="16" fillId="7" borderId="0" xfId="0" applyFont="1" applyFill="1" applyAlignment="1" applyProtection="1">
      <alignment horizontal="center" vertical="center"/>
      <protection hidden="1"/>
    </xf>
    <xf numFmtId="0" fontId="6" fillId="7" borderId="0" xfId="1" applyFill="1" applyAlignment="1" applyProtection="1">
      <alignment horizontal="left" vertical="center" wrapText="1"/>
      <protection hidden="1"/>
    </xf>
    <xf numFmtId="0" fontId="29" fillId="8" borderId="0" xfId="0" applyFont="1" applyFill="1" applyAlignment="1" applyProtection="1">
      <alignment horizontal="left"/>
      <protection locked="0"/>
    </xf>
    <xf numFmtId="165" fontId="16" fillId="7" borderId="0" xfId="0" applyNumberFormat="1" applyFont="1" applyFill="1" applyAlignment="1" applyProtection="1">
      <alignment horizontal="right" vertical="center"/>
      <protection hidden="1"/>
    </xf>
    <xf numFmtId="0" fontId="9" fillId="4" borderId="0" xfId="0" applyFont="1" applyFill="1" applyAlignment="1" applyProtection="1">
      <alignment horizontal="right" vertical="center"/>
      <protection hidden="1"/>
    </xf>
    <xf numFmtId="0" fontId="41" fillId="5" borderId="0" xfId="0" applyFont="1" applyFill="1" applyAlignment="1" applyProtection="1">
      <alignment horizontal="center" vertical="center"/>
      <protection hidden="1"/>
    </xf>
    <xf numFmtId="0" fontId="14" fillId="0" borderId="0" xfId="0" applyFont="1" applyFill="1" applyAlignment="1" applyProtection="1">
      <alignment horizontal="left"/>
      <protection locked="0"/>
    </xf>
    <xf numFmtId="0" fontId="6" fillId="7" borderId="0" xfId="1" applyFill="1" applyAlignment="1" applyProtection="1">
      <alignment horizontal="left" vertical="center" wrapText="1"/>
      <protection locked="0" hidden="1"/>
    </xf>
    <xf numFmtId="0" fontId="32" fillId="6" borderId="0" xfId="0" applyFont="1" applyFill="1" applyAlignment="1" applyProtection="1">
      <alignment horizontal="right"/>
      <protection hidden="1"/>
    </xf>
    <xf numFmtId="0" fontId="13" fillId="6" borderId="0" xfId="0" applyFont="1" applyFill="1" applyAlignment="1" applyProtection="1">
      <alignment horizontal="right"/>
      <protection hidden="1"/>
    </xf>
    <xf numFmtId="0" fontId="16" fillId="7" borderId="0" xfId="0" applyFont="1" applyFill="1" applyAlignment="1" applyProtection="1">
      <alignment horizontal="left" vertical="center"/>
      <protection hidden="1"/>
    </xf>
    <xf numFmtId="0" fontId="16" fillId="7" borderId="0" xfId="0" applyNumberFormat="1" applyFont="1" applyFill="1" applyAlignment="1" applyProtection="1">
      <alignment horizontal="left" vertical="center"/>
      <protection hidden="1"/>
    </xf>
    <xf numFmtId="0" fontId="31" fillId="8" borderId="0" xfId="0" applyFont="1" applyFill="1" applyAlignment="1" applyProtection="1">
      <alignment horizontal="center"/>
      <protection locked="0" hidden="1"/>
    </xf>
    <xf numFmtId="0" fontId="9" fillId="5" borderId="0" xfId="0" applyFont="1" applyFill="1" applyAlignment="1" applyProtection="1">
      <alignment horizontal="center"/>
      <protection locked="0" hidden="1"/>
    </xf>
    <xf numFmtId="0" fontId="9" fillId="4" borderId="0" xfId="0" applyFont="1" applyFill="1" applyAlignment="1" applyProtection="1">
      <alignment horizontal="center"/>
      <protection locked="0" hidden="1"/>
    </xf>
    <xf numFmtId="9" fontId="20" fillId="5" borderId="0" xfId="0" applyNumberFormat="1" applyFont="1" applyFill="1" applyAlignment="1" applyProtection="1">
      <alignment horizontal="center"/>
      <protection hidden="1"/>
    </xf>
    <xf numFmtId="0" fontId="14" fillId="4" borderId="0" xfId="0" applyFont="1" applyFill="1" applyAlignment="1" applyProtection="1">
      <alignment horizontal="left" vertical="top" wrapText="1"/>
      <protection hidden="1"/>
    </xf>
    <xf numFmtId="0" fontId="13" fillId="7" borderId="0" xfId="0" applyFont="1" applyFill="1" applyAlignment="1" applyProtection="1">
      <alignment horizontal="right"/>
      <protection hidden="1"/>
    </xf>
    <xf numFmtId="0" fontId="9" fillId="7" borderId="0" xfId="0" applyFont="1" applyFill="1" applyAlignment="1" applyProtection="1">
      <alignment horizontal="right" vertical="center"/>
      <protection hidden="1"/>
    </xf>
    <xf numFmtId="9" fontId="14" fillId="0" borderId="0" xfId="0" applyNumberFormat="1" applyFont="1" applyFill="1" applyAlignment="1" applyProtection="1">
      <alignment horizontal="center"/>
      <protection locked="0" hidden="1"/>
    </xf>
    <xf numFmtId="9" fontId="14" fillId="5" borderId="0" xfId="0" applyNumberFormat="1" applyFont="1" applyFill="1" applyAlignment="1" applyProtection="1">
      <alignment horizontal="center"/>
      <protection locked="0" hidden="1"/>
    </xf>
    <xf numFmtId="0" fontId="17" fillId="7" borderId="0" xfId="0" applyFont="1" applyFill="1" applyAlignment="1" applyProtection="1">
      <alignment horizontal="center"/>
      <protection hidden="1"/>
    </xf>
    <xf numFmtId="0" fontId="28" fillId="7" borderId="0" xfId="0" applyFont="1" applyFill="1" applyAlignment="1" applyProtection="1">
      <alignment horizontal="left" vertical="center"/>
      <protection hidden="1"/>
    </xf>
    <xf numFmtId="0" fontId="9" fillId="4" borderId="0" xfId="0" applyFont="1" applyFill="1" applyAlignment="1" applyProtection="1">
      <alignment horizontal="left" vertical="center" wrapText="1"/>
      <protection hidden="1"/>
    </xf>
    <xf numFmtId="165" fontId="9" fillId="7" borderId="0" xfId="0" applyNumberFormat="1" applyFont="1" applyFill="1" applyAlignment="1" applyProtection="1">
      <alignment horizontal="right" vertical="center"/>
      <protection hidden="1"/>
    </xf>
    <xf numFmtId="0" fontId="15" fillId="7" borderId="0" xfId="0" applyFont="1" applyFill="1" applyAlignment="1" applyProtection="1">
      <alignment horizontal="left" vertical="center"/>
      <protection hidden="1"/>
    </xf>
    <xf numFmtId="0" fontId="15" fillId="7" borderId="0" xfId="0" applyFont="1" applyFill="1" applyAlignment="1" applyProtection="1">
      <alignment horizontal="center"/>
      <protection hidden="1"/>
    </xf>
    <xf numFmtId="9" fontId="20" fillId="0" borderId="0" xfId="0" applyNumberFormat="1" applyFont="1" applyFill="1" applyAlignment="1" applyProtection="1">
      <alignment horizontal="center"/>
      <protection hidden="1"/>
    </xf>
    <xf numFmtId="0" fontId="20" fillId="0" borderId="0" xfId="0" applyFont="1" applyFill="1" applyAlignment="1" applyProtection="1">
      <alignment horizontal="center"/>
      <protection hidden="1"/>
    </xf>
    <xf numFmtId="0" fontId="14" fillId="5" borderId="0" xfId="0" applyFont="1" applyFill="1" applyAlignment="1" applyProtection="1">
      <alignment horizontal="center"/>
      <protection locked="0" hidden="1"/>
    </xf>
    <xf numFmtId="0" fontId="13" fillId="3" borderId="0" xfId="0" applyFont="1" applyFill="1" applyAlignment="1" applyProtection="1">
      <alignment horizontal="left" vertical="top" wrapText="1"/>
      <protection hidden="1"/>
    </xf>
    <xf numFmtId="165" fontId="13" fillId="7" borderId="0" xfId="0" applyNumberFormat="1" applyFont="1" applyFill="1" applyAlignment="1" applyProtection="1">
      <alignment horizontal="right"/>
      <protection hidden="1"/>
    </xf>
    <xf numFmtId="0" fontId="16" fillId="4" borderId="0" xfId="0" applyFont="1" applyFill="1" applyAlignment="1" applyProtection="1">
      <alignment horizontal="center"/>
      <protection hidden="1"/>
    </xf>
    <xf numFmtId="0" fontId="9" fillId="3" borderId="0" xfId="0" applyFont="1" applyFill="1" applyAlignment="1" applyProtection="1">
      <alignment horizontal="left" vertical="top" wrapText="1"/>
      <protection hidden="1"/>
    </xf>
    <xf numFmtId="0" fontId="42" fillId="3" borderId="0" xfId="0" applyFont="1" applyFill="1" applyAlignment="1" applyProtection="1">
      <alignment horizontal="left" vertical="center" wrapText="1"/>
      <protection hidden="1"/>
    </xf>
    <xf numFmtId="0" fontId="6" fillId="4" borderId="0" xfId="1" applyFill="1" applyAlignment="1" applyProtection="1">
      <alignment horizontal="left"/>
      <protection locked="0" hidden="1"/>
    </xf>
    <xf numFmtId="0" fontId="14" fillId="0" borderId="0" xfId="0" applyFont="1" applyFill="1" applyAlignment="1" applyProtection="1">
      <alignment horizontal="center"/>
      <protection locked="0" hidden="1"/>
    </xf>
    <xf numFmtId="0" fontId="15" fillId="7" borderId="0" xfId="0" applyFont="1" applyFill="1" applyAlignment="1" applyProtection="1">
      <alignment horizontal="center" vertical="center"/>
      <protection hidden="1"/>
    </xf>
    <xf numFmtId="0" fontId="6" fillId="3" borderId="0" xfId="1" applyFill="1" applyAlignment="1" applyProtection="1">
      <alignment horizontal="center" vertical="center"/>
      <protection locked="0" hidden="1"/>
    </xf>
    <xf numFmtId="0" fontId="9" fillId="3" borderId="0" xfId="0" applyFont="1" applyFill="1" applyAlignment="1" applyProtection="1">
      <alignment horizontal="left" vertical="center" wrapText="1"/>
      <protection hidden="1"/>
    </xf>
    <xf numFmtId="0" fontId="15" fillId="4" borderId="0" xfId="0" applyFont="1" applyFill="1" applyAlignment="1" applyProtection="1">
      <alignment horizontal="left" wrapText="1"/>
      <protection locked="0" hidden="1"/>
    </xf>
    <xf numFmtId="0" fontId="37" fillId="4" borderId="0" xfId="0" applyFont="1" applyFill="1" applyAlignment="1" applyProtection="1">
      <alignment horizontal="left" vertical="top" wrapText="1"/>
      <protection hidden="1"/>
    </xf>
    <xf numFmtId="0" fontId="28" fillId="4" borderId="0" xfId="0" applyFont="1" applyFill="1" applyAlignment="1" applyProtection="1">
      <alignment horizontal="left"/>
      <protection hidden="1"/>
    </xf>
    <xf numFmtId="0" fontId="14" fillId="4" borderId="0" xfId="0" applyFont="1" applyFill="1" applyAlignment="1" applyProtection="1">
      <alignment horizontal="left"/>
      <protection locked="0"/>
    </xf>
    <xf numFmtId="0" fontId="15" fillId="4" borderId="0" xfId="0" applyFont="1" applyFill="1" applyAlignment="1" applyProtection="1">
      <alignment horizontal="left"/>
      <protection hidden="1"/>
    </xf>
    <xf numFmtId="0" fontId="21" fillId="8" borderId="0" xfId="0" applyFont="1" applyFill="1" applyAlignment="1" applyProtection="1">
      <alignment horizontal="center"/>
      <protection hidden="1"/>
    </xf>
    <xf numFmtId="0" fontId="14" fillId="4" borderId="0" xfId="0" applyFont="1" applyFill="1" applyProtection="1">
      <protection locked="0"/>
    </xf>
    <xf numFmtId="0" fontId="31" fillId="8" borderId="0" xfId="0" applyFont="1" applyFill="1" applyAlignment="1" applyProtection="1">
      <alignment horizontal="center"/>
      <protection hidden="1"/>
    </xf>
    <xf numFmtId="0" fontId="6" fillId="4" borderId="0" xfId="1" applyFill="1" applyAlignment="1" applyProtection="1">
      <alignment horizontal="left" vertical="center" wrapText="1"/>
      <protection locked="0" hidden="1"/>
    </xf>
    <xf numFmtId="0" fontId="14" fillId="4" borderId="0" xfId="0" applyFont="1" applyFill="1" applyAlignment="1" applyProtection="1">
      <alignment horizontal="left" vertical="center" wrapText="1"/>
      <protection hidden="1"/>
    </xf>
    <xf numFmtId="0" fontId="6" fillId="4" borderId="0" xfId="1" applyFill="1" applyAlignment="1" applyProtection="1">
      <alignment horizontal="left" vertical="top" wrapText="1"/>
      <protection locked="0" hidden="1"/>
    </xf>
    <xf numFmtId="0" fontId="13" fillId="4" borderId="0" xfId="0" applyFont="1" applyFill="1" applyAlignment="1" applyProtection="1">
      <alignment horizontal="center"/>
      <protection hidden="1"/>
    </xf>
    <xf numFmtId="0" fontId="0" fillId="5" borderId="0" xfId="0" applyFill="1" applyProtection="1">
      <protection locked="0" hidden="1"/>
    </xf>
    <xf numFmtId="0" fontId="9" fillId="10" borderId="0" xfId="0" applyNumberFormat="1" applyFont="1" applyFill="1" applyAlignment="1" applyProtection="1">
      <alignment horizontal="right"/>
      <protection locked="0" hidden="1"/>
    </xf>
    <xf numFmtId="0" fontId="16" fillId="4" borderId="0" xfId="0" applyFont="1" applyFill="1" applyAlignment="1" applyProtection="1">
      <alignment horizontal="left" vertical="top" wrapText="1"/>
      <protection hidden="1"/>
    </xf>
    <xf numFmtId="0" fontId="16" fillId="4" borderId="0" xfId="0" applyFont="1" applyFill="1" applyAlignment="1" applyProtection="1">
      <alignment horizontal="left" vertical="top"/>
      <protection hidden="1"/>
    </xf>
    <xf numFmtId="0" fontId="9" fillId="5" borderId="0" xfId="0" applyNumberFormat="1" applyFont="1" applyFill="1" applyAlignment="1" applyProtection="1">
      <alignment horizontal="right"/>
      <protection locked="0" hidden="1"/>
    </xf>
    <xf numFmtId="0" fontId="9" fillId="0" borderId="0" xfId="0" applyFont="1" applyFill="1" applyAlignment="1" applyProtection="1">
      <protection locked="0" hidden="1"/>
    </xf>
    <xf numFmtId="0" fontId="13" fillId="5" borderId="0" xfId="0" applyFont="1" applyFill="1" applyAlignment="1" applyProtection="1">
      <alignment horizontal="left" vertical="center" wrapText="1"/>
      <protection locked="0" hidden="1"/>
    </xf>
    <xf numFmtId="0" fontId="41" fillId="5" borderId="0" xfId="0" applyNumberFormat="1" applyFont="1" applyFill="1" applyAlignment="1" applyProtection="1">
      <alignment horizontal="center" vertical="center"/>
      <protection hidden="1"/>
    </xf>
    <xf numFmtId="0" fontId="14" fillId="3" borderId="0" xfId="0" applyFont="1" applyFill="1" applyAlignment="1" applyProtection="1">
      <alignment horizontal="left"/>
      <protection locked="0" hidden="1"/>
    </xf>
    <xf numFmtId="0" fontId="14" fillId="3" borderId="0" xfId="0" applyFont="1" applyFill="1" applyAlignment="1" applyProtection="1">
      <alignment horizontal="center"/>
      <protection locked="0" hidden="1"/>
    </xf>
    <xf numFmtId="0" fontId="24" fillId="4" borderId="0" xfId="0" applyFont="1" applyFill="1" applyAlignment="1" applyProtection="1">
      <alignment horizontal="left" vertical="center"/>
    </xf>
    <xf numFmtId="0" fontId="9" fillId="4" borderId="0" xfId="0" applyFont="1" applyFill="1" applyAlignment="1" applyProtection="1">
      <alignment horizontal="center" vertical="center" wrapText="1"/>
      <protection hidden="1"/>
    </xf>
    <xf numFmtId="0" fontId="8" fillId="3" borderId="0" xfId="0" applyFont="1" applyFill="1" applyAlignment="1" applyProtection="1">
      <alignment horizontal="center"/>
      <protection hidden="1"/>
    </xf>
    <xf numFmtId="0" fontId="16" fillId="4" borderId="0" xfId="0" applyFont="1" applyFill="1" applyAlignment="1" applyProtection="1">
      <alignment horizontal="left"/>
      <protection hidden="1"/>
    </xf>
    <xf numFmtId="165" fontId="13" fillId="6" borderId="0" xfId="0" applyNumberFormat="1" applyFont="1" applyFill="1" applyAlignment="1" applyProtection="1">
      <alignment horizontal="right"/>
      <protection hidden="1"/>
    </xf>
    <xf numFmtId="0" fontId="15" fillId="5" borderId="0" xfId="0" applyFont="1" applyFill="1" applyAlignment="1" applyProtection="1">
      <alignment horizontal="center" vertical="center"/>
      <protection locked="0" hidden="1"/>
    </xf>
    <xf numFmtId="0" fontId="13" fillId="3" borderId="0" xfId="0" applyFont="1" applyFill="1" applyAlignment="1" applyProtection="1">
      <alignment horizontal="center" vertical="top" wrapText="1"/>
      <protection hidden="1"/>
    </xf>
    <xf numFmtId="0" fontId="13" fillId="5" borderId="0" xfId="0" applyFont="1" applyFill="1" applyAlignment="1" applyProtection="1">
      <alignment horizontal="center" vertical="center"/>
      <protection locked="0" hidden="1"/>
    </xf>
    <xf numFmtId="6" fontId="32" fillId="6" borderId="0" xfId="0" applyNumberFormat="1" applyFont="1" applyFill="1" applyAlignment="1" applyProtection="1">
      <alignment horizontal="right"/>
      <protection hidden="1"/>
    </xf>
    <xf numFmtId="164" fontId="38" fillId="0" borderId="0" xfId="2" applyNumberFormat="1" applyFont="1" applyAlignment="1" applyProtection="1">
      <alignment horizontal="right" vertical="center"/>
      <protection hidden="1"/>
    </xf>
    <xf numFmtId="0" fontId="14" fillId="9" borderId="0" xfId="0" applyFont="1" applyFill="1" applyAlignment="1" applyProtection="1">
      <protection locked="0" hidden="1"/>
    </xf>
    <xf numFmtId="0" fontId="9" fillId="0" borderId="0" xfId="0" applyFont="1" applyAlignment="1" applyProtection="1">
      <alignment horizontal="left"/>
      <protection locked="0"/>
    </xf>
    <xf numFmtId="0" fontId="18" fillId="4" borderId="0" xfId="0" applyFont="1" applyFill="1" applyAlignment="1" applyProtection="1">
      <alignment horizontal="left" vertical="top" wrapText="1"/>
      <protection hidden="1"/>
    </xf>
    <xf numFmtId="0" fontId="9" fillId="6" borderId="0" xfId="0" applyFont="1" applyFill="1" applyBorder="1" applyAlignment="1" applyProtection="1">
      <alignment horizontal="left" vertical="center" wrapText="1"/>
      <protection hidden="1"/>
    </xf>
    <xf numFmtId="0" fontId="9" fillId="6" borderId="0" xfId="0" applyFont="1" applyFill="1" applyBorder="1" applyAlignment="1" applyProtection="1">
      <alignment horizontal="left" vertical="top" wrapText="1"/>
      <protection hidden="1"/>
    </xf>
    <xf numFmtId="0" fontId="0" fillId="4" borderId="0" xfId="0" applyFill="1" applyAlignment="1" applyProtection="1">
      <alignment horizontal="left" vertical="top" wrapText="1"/>
      <protection hidden="1"/>
    </xf>
    <xf numFmtId="0" fontId="34" fillId="4" borderId="0" xfId="0" applyFont="1" applyFill="1" applyAlignment="1" applyProtection="1">
      <alignment horizontal="left" vertical="center"/>
      <protection hidden="1"/>
    </xf>
    <xf numFmtId="0" fontId="6" fillId="4" borderId="0" xfId="1" applyFill="1" applyAlignment="1" applyProtection="1">
      <alignment horizontal="right" vertical="center"/>
      <protection locked="0" hidden="1"/>
    </xf>
  </cellXfs>
  <cellStyles count="4">
    <cellStyle name="Hyperlink" xfId="1" builtinId="8"/>
    <cellStyle name="Normal" xfId="0" builtinId="0"/>
    <cellStyle name="Normal 2" xfId="2"/>
    <cellStyle name="Normal 3" xfId="3"/>
  </cellStyles>
  <dxfs count="315">
    <dxf>
      <fill>
        <patternFill>
          <bgColor theme="0"/>
        </patternFill>
      </fill>
    </dxf>
    <dxf>
      <font>
        <color theme="0" tint="-0.24994659260841701"/>
      </font>
    </dxf>
    <dxf>
      <font>
        <color rgb="FF006600"/>
      </font>
    </dxf>
    <dxf>
      <font>
        <color rgb="FF006600"/>
      </font>
    </dxf>
    <dxf>
      <font>
        <color rgb="FF006600"/>
      </font>
    </dxf>
    <dxf>
      <font>
        <color rgb="FF006600"/>
      </font>
    </dxf>
    <dxf>
      <font>
        <color rgb="FF006600"/>
      </font>
    </dxf>
    <dxf>
      <font>
        <color rgb="FF006600"/>
      </font>
    </dxf>
    <dxf>
      <font>
        <color rgb="FF006600"/>
      </font>
    </dxf>
    <dxf>
      <fill>
        <patternFill>
          <bgColor rgb="FFA6C36B"/>
        </patternFill>
      </fill>
    </dxf>
    <dxf>
      <fill>
        <patternFill>
          <bgColor theme="6" tint="0.39994506668294322"/>
        </patternFill>
      </fill>
    </dxf>
    <dxf>
      <font>
        <b val="0"/>
        <i val="0"/>
        <color theme="9" tint="-0.24994659260841701"/>
      </font>
    </dxf>
    <dxf>
      <font>
        <color theme="0" tint="-0.24994659260841701"/>
      </font>
    </dxf>
    <dxf>
      <font>
        <color theme="0" tint="-0.24994659260841701"/>
      </font>
    </dxf>
    <dxf>
      <font>
        <b val="0"/>
        <i/>
        <color theme="0" tint="-0.34998626667073579"/>
      </font>
    </dxf>
    <dxf>
      <font>
        <b/>
        <i val="0"/>
        <color rgb="FF006600"/>
      </font>
      <fill>
        <patternFill>
          <bgColor theme="6" tint="0.59996337778862885"/>
        </patternFill>
      </fill>
    </dxf>
    <dxf>
      <font>
        <color theme="0"/>
      </font>
    </dxf>
    <dxf>
      <fill>
        <patternFill>
          <bgColor theme="6" tint="0.39994506668294322"/>
        </patternFill>
      </fill>
    </dxf>
    <dxf>
      <font>
        <b/>
        <i val="0"/>
        <color rgb="FF006600"/>
      </font>
    </dxf>
    <dxf>
      <fill>
        <patternFill>
          <bgColor theme="6" tint="0.39994506668294322"/>
        </patternFill>
      </fill>
    </dxf>
    <dxf>
      <font>
        <color theme="0"/>
      </font>
      <fill>
        <patternFill>
          <bgColor theme="0"/>
        </patternFill>
      </fill>
    </dxf>
    <dxf>
      <font>
        <b val="0"/>
        <i/>
        <color theme="0" tint="-0.34998626667073579"/>
      </font>
    </dxf>
    <dxf>
      <font>
        <b val="0"/>
        <i/>
        <color theme="0" tint="-0.24994659260841701"/>
      </font>
    </dxf>
    <dxf>
      <font>
        <color theme="0" tint="-0.24994659260841701"/>
      </font>
    </dxf>
    <dxf>
      <font>
        <b val="0"/>
        <i/>
        <color theme="0" tint="-0.24994659260841701"/>
      </font>
    </dxf>
    <dxf>
      <font>
        <b val="0"/>
        <i/>
        <color theme="0" tint="-0.34998626667073579"/>
      </font>
    </dxf>
    <dxf>
      <font>
        <color theme="0" tint="-0.14996795556505021"/>
      </font>
    </dxf>
    <dxf>
      <font>
        <color rgb="FF006600"/>
      </font>
      <fill>
        <patternFill>
          <bgColor theme="6" tint="0.59996337778862885"/>
        </patternFill>
      </fill>
    </dxf>
    <dxf>
      <font>
        <color theme="0" tint="-0.34998626667073579"/>
      </font>
    </dxf>
    <dxf>
      <font>
        <color theme="0" tint="-0.34998626667073579"/>
      </font>
    </dxf>
    <dxf>
      <font>
        <b/>
        <i val="0"/>
        <color rgb="FF006600"/>
      </font>
    </dxf>
    <dxf>
      <font>
        <b/>
        <i val="0"/>
        <color rgb="FF006600"/>
      </font>
    </dxf>
    <dxf>
      <fill>
        <patternFill>
          <bgColor theme="6" tint="0.39994506668294322"/>
        </patternFill>
      </fill>
    </dxf>
    <dxf>
      <fill>
        <patternFill>
          <bgColor theme="6" tint="0.59996337778862885"/>
        </patternFill>
      </fill>
    </dxf>
    <dxf>
      <fill>
        <patternFill>
          <bgColor rgb="FFD1D1D1"/>
        </patternFill>
      </fill>
    </dxf>
    <dxf>
      <fill>
        <patternFill>
          <bgColor theme="0" tint="-0.24994659260841701"/>
        </patternFill>
      </fill>
    </dxf>
    <dxf>
      <font>
        <color theme="0" tint="-0.14996795556505021"/>
      </font>
    </dxf>
    <dxf>
      <font>
        <b/>
        <i val="0"/>
        <color rgb="FF006600"/>
      </font>
    </dxf>
    <dxf>
      <font>
        <b/>
        <i val="0"/>
        <color rgb="FF006600"/>
      </font>
    </dxf>
    <dxf>
      <font>
        <b/>
        <i val="0"/>
        <color rgb="FF006600"/>
      </font>
    </dxf>
    <dxf>
      <font>
        <b/>
        <i val="0"/>
        <color rgb="FF006600"/>
      </font>
    </dxf>
    <dxf>
      <font>
        <b/>
        <i val="0"/>
        <color rgb="FF006600"/>
      </font>
    </dxf>
    <dxf>
      <font>
        <b/>
        <i val="0"/>
        <color rgb="FF006600"/>
      </font>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ont>
        <color theme="1"/>
      </font>
      <fill>
        <patternFill>
          <bgColor theme="6" tint="0.59996337778862885"/>
        </patternFill>
      </fill>
    </dxf>
    <dxf>
      <font>
        <color theme="1"/>
      </font>
      <fill>
        <patternFill>
          <bgColor theme="6" tint="0.59996337778862885"/>
        </patternFill>
      </fill>
    </dxf>
    <dxf>
      <fill>
        <patternFill>
          <bgColor theme="6" tint="0.39994506668294322"/>
        </patternFill>
      </fill>
    </dxf>
    <dxf>
      <fill>
        <patternFill>
          <bgColor theme="6" tint="0.39994506668294322"/>
        </patternFill>
      </fill>
    </dxf>
    <dxf>
      <fill>
        <patternFill>
          <bgColor theme="6" tint="0.59996337778862885"/>
        </patternFill>
      </fill>
    </dxf>
    <dxf>
      <fill>
        <patternFill>
          <bgColor theme="6" tint="0.59996337778862885"/>
        </patternFill>
      </fill>
    </dxf>
    <dxf>
      <font>
        <color auto="1"/>
      </font>
      <fill>
        <patternFill>
          <bgColor theme="6" tint="0.39994506668294322"/>
        </patternFill>
      </fill>
    </dxf>
    <dxf>
      <font>
        <color auto="1"/>
      </font>
      <fill>
        <patternFill>
          <bgColor theme="6" tint="0.39994506668294322"/>
        </patternFill>
      </fill>
    </dxf>
    <dxf>
      <fill>
        <patternFill>
          <bgColor theme="6" tint="0.39994506668294322"/>
        </patternFill>
      </fill>
    </dxf>
    <dxf>
      <fill>
        <patternFill>
          <bgColor theme="6" tint="0.39994506668294322"/>
        </patternFill>
      </fill>
    </dxf>
    <dxf>
      <fill>
        <patternFill>
          <bgColor theme="6" tint="0.59996337778862885"/>
        </patternFill>
      </fill>
    </dxf>
    <dxf>
      <fill>
        <patternFill>
          <bgColor theme="6" tint="0.59996337778862885"/>
        </patternFill>
      </fill>
    </dxf>
    <dxf>
      <fill>
        <patternFill>
          <bgColor theme="6" tint="0.39994506668294322"/>
        </patternFill>
      </fill>
    </dxf>
    <dxf>
      <fill>
        <patternFill>
          <bgColor theme="6" tint="0.39994506668294322"/>
        </patternFill>
      </fill>
    </dxf>
    <dxf>
      <fill>
        <patternFill>
          <bgColor theme="6" tint="0.59996337778862885"/>
        </patternFill>
      </fill>
    </dxf>
    <dxf>
      <fill>
        <patternFill>
          <bgColor theme="6" tint="0.59996337778862885"/>
        </patternFill>
      </fill>
    </dxf>
    <dxf>
      <fill>
        <patternFill>
          <bgColor theme="6" tint="0.39994506668294322"/>
        </patternFill>
      </fill>
    </dxf>
    <dxf>
      <fill>
        <patternFill>
          <bgColor theme="6" tint="0.39994506668294322"/>
        </patternFill>
      </fill>
    </dxf>
    <dxf>
      <font>
        <b/>
        <i val="0"/>
        <color rgb="FF006600"/>
      </font>
    </dxf>
    <dxf>
      <font>
        <b/>
        <i val="0"/>
        <color rgb="FF006600"/>
      </font>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ont>
        <color theme="1"/>
      </font>
      <fill>
        <patternFill>
          <bgColor theme="6" tint="0.59996337778862885"/>
        </patternFill>
      </fill>
    </dxf>
    <dxf>
      <fill>
        <patternFill>
          <bgColor theme="6" tint="0.39994506668294322"/>
        </patternFill>
      </fill>
    </dxf>
    <dxf>
      <fill>
        <patternFill>
          <bgColor theme="6" tint="0.59996337778862885"/>
        </patternFill>
      </fill>
    </dxf>
    <dxf>
      <font>
        <color auto="1"/>
      </font>
      <fill>
        <patternFill>
          <bgColor theme="6" tint="0.39994506668294322"/>
        </patternFill>
      </fill>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59996337778862885"/>
        </patternFill>
      </fill>
    </dxf>
    <dxf>
      <fill>
        <patternFill>
          <bgColor theme="6" tint="0.39994506668294322"/>
        </patternFill>
      </fill>
    </dxf>
    <dxf>
      <numFmt numFmtId="168" formatCode="#,##0.00_ ;[Red]\-#,##0.00\ "/>
    </dxf>
    <dxf>
      <fill>
        <patternFill>
          <bgColor theme="6" tint="0.39994506668294322"/>
        </patternFill>
      </fill>
    </dxf>
    <dxf>
      <font>
        <color theme="0" tint="-0.34998626667073579"/>
      </font>
    </dxf>
    <dxf>
      <font>
        <b/>
        <i val="0"/>
        <color rgb="FF0066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fill>
        <patternFill patternType="none">
          <bgColor auto="1"/>
        </patternFill>
      </fill>
    </dxf>
    <dxf>
      <fill>
        <patternFill>
          <bgColor theme="6" tint="0.39994506668294322"/>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b/>
        <i val="0"/>
        <color rgb="FF006600"/>
      </font>
    </dxf>
    <dxf>
      <font>
        <color theme="1" tint="0.34998626667073579"/>
      </font>
    </dxf>
    <dxf>
      <font>
        <b/>
        <i val="0"/>
        <color rgb="FF006600"/>
      </font>
    </dxf>
    <dxf>
      <font>
        <color theme="1" tint="0.34998626667073579"/>
      </font>
    </dxf>
    <dxf>
      <font>
        <b/>
        <i val="0"/>
        <color rgb="FF006600"/>
      </font>
    </dxf>
    <dxf>
      <font>
        <color theme="1" tint="0.34998626667073579"/>
      </font>
    </dxf>
    <dxf>
      <font>
        <b/>
        <i val="0"/>
        <color rgb="FF006600"/>
      </font>
    </dxf>
    <dxf>
      <font>
        <color theme="1" tint="0.34998626667073579"/>
      </font>
    </dxf>
    <dxf>
      <font>
        <color theme="1" tint="0.34998626667073579"/>
      </font>
    </dxf>
    <dxf>
      <font>
        <b/>
        <i val="0"/>
        <color rgb="FF006600"/>
      </font>
    </dxf>
    <dxf>
      <font>
        <b/>
        <i val="0"/>
        <color rgb="FF006600"/>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b/>
        <i val="0"/>
        <color rgb="FF006600"/>
      </font>
    </dxf>
    <dxf>
      <font>
        <color theme="1" tint="0.34998626667073579"/>
      </font>
    </dxf>
    <dxf>
      <font>
        <b/>
        <i val="0"/>
        <color rgb="FF006600"/>
      </font>
    </dxf>
    <dxf>
      <font>
        <color rgb="FF006600"/>
      </font>
    </dxf>
    <dxf>
      <font>
        <color theme="1" tint="0.34998626667073579"/>
      </font>
    </dxf>
    <dxf>
      <font>
        <color theme="1" tint="0.34998626667073579"/>
      </font>
    </dxf>
    <dxf>
      <font>
        <color theme="1" tint="0.34998626667073579"/>
      </font>
    </dxf>
    <dxf>
      <font>
        <color theme="1" tint="0.34998626667073579"/>
      </font>
    </dxf>
    <dxf>
      <font>
        <color rgb="FF006600"/>
      </font>
    </dxf>
    <dxf>
      <font>
        <color theme="1" tint="0.34998626667073579"/>
      </font>
    </dxf>
    <dxf>
      <font>
        <color rgb="FF006600"/>
      </font>
    </dxf>
    <dxf>
      <font>
        <color theme="1" tint="0.34998626667073579"/>
      </font>
    </dxf>
    <dxf>
      <font>
        <color rgb="FF006600"/>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b/>
        <i val="0"/>
        <color rgb="FF006600"/>
      </font>
    </dxf>
    <dxf>
      <font>
        <color theme="1" tint="0.34998626667073579"/>
      </font>
    </dxf>
    <dxf>
      <font>
        <color theme="1"/>
      </font>
      <fill>
        <patternFill>
          <bgColor theme="0" tint="-0.24994659260841701"/>
        </patternFill>
      </fill>
    </dxf>
    <dxf>
      <fill>
        <patternFill>
          <bgColor theme="0"/>
        </patternFill>
      </fill>
    </dxf>
    <dxf>
      <font>
        <color theme="0" tint="-0.34998626667073579"/>
      </font>
    </dxf>
    <dxf>
      <fill>
        <patternFill>
          <bgColor theme="6" tint="-0.24994659260841701"/>
        </patternFill>
      </fill>
    </dxf>
    <dxf>
      <font>
        <color theme="0" tint="-0.24994659260841701"/>
      </font>
    </dxf>
    <dxf>
      <font>
        <color theme="0" tint="-0.24994659260841701"/>
      </font>
    </dxf>
    <dxf>
      <font>
        <color theme="0" tint="-0.24994659260841701"/>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0" tint="-0.14996795556505021"/>
      </font>
    </dxf>
    <dxf>
      <font>
        <color rgb="FF006600"/>
      </font>
    </dxf>
    <dxf>
      <fill>
        <patternFill>
          <bgColor theme="6" tint="0.59996337778862885"/>
        </patternFill>
      </fill>
    </dxf>
    <dxf>
      <fill>
        <patternFill>
          <bgColor theme="6" tint="-0.24994659260841701"/>
        </patternFill>
      </fill>
    </dxf>
    <dxf>
      <font>
        <b/>
        <i val="0"/>
        <color rgb="FF006600"/>
      </font>
    </dxf>
    <dxf>
      <fill>
        <patternFill>
          <bgColor theme="6" tint="0.59996337778862885"/>
        </patternFill>
      </fill>
    </dxf>
    <dxf>
      <fill>
        <patternFill>
          <bgColor theme="6" tint="0.39994506668294322"/>
        </patternFill>
      </fill>
    </dxf>
    <dxf>
      <fill>
        <patternFill>
          <bgColor theme="6" tint="0.59996337778862885"/>
        </patternFill>
      </fill>
    </dxf>
    <dxf>
      <fill>
        <patternFill>
          <bgColor theme="6" tint="0.39994506668294322"/>
        </patternFill>
      </fill>
    </dxf>
    <dxf>
      <font>
        <b/>
        <i val="0"/>
        <color rgb="FF006600"/>
      </font>
    </dxf>
    <dxf>
      <fill>
        <patternFill>
          <bgColor theme="6" tint="0.39994506668294322"/>
        </patternFill>
      </fill>
    </dxf>
    <dxf>
      <font>
        <b/>
        <i val="0"/>
        <color rgb="FF006600"/>
      </font>
    </dxf>
    <dxf>
      <fill>
        <patternFill>
          <bgColor theme="6" tint="0.39994506668294322"/>
        </patternFill>
      </fill>
    </dxf>
    <dxf>
      <font>
        <b/>
        <i val="0"/>
        <color rgb="FF006600"/>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ill>
        <patternFill>
          <bgColor theme="6" tint="0.39994506668294322"/>
        </patternFill>
      </fill>
    </dxf>
    <dxf>
      <font>
        <color theme="1" tint="0.34998626667073579"/>
      </font>
    </dxf>
    <dxf>
      <font>
        <color theme="0" tint="-0.34998626667073579"/>
      </font>
    </dxf>
    <dxf>
      <font>
        <color theme="1" tint="0.34998626667073579"/>
      </font>
    </dxf>
    <dxf>
      <font>
        <color theme="1" tint="0.34998626667073579"/>
      </font>
    </dxf>
    <dxf>
      <font>
        <color theme="1" tint="0.34998626667073579"/>
      </font>
    </dxf>
    <dxf>
      <font>
        <b/>
        <i val="0"/>
        <color rgb="FF006600"/>
      </font>
    </dxf>
    <dxf>
      <font>
        <b/>
        <i val="0"/>
        <color rgb="FF006600"/>
      </font>
    </dxf>
    <dxf>
      <font>
        <color theme="0" tint="-0.34998626667073579"/>
      </font>
    </dxf>
    <dxf>
      <font>
        <b/>
        <i val="0"/>
        <color rgb="FF006600"/>
      </font>
    </dxf>
    <dxf>
      <font>
        <b/>
        <i val="0"/>
        <color rgb="FF006600"/>
      </font>
    </dxf>
    <dxf>
      <font>
        <b/>
        <i val="0"/>
        <color rgb="FF006600"/>
      </font>
    </dxf>
    <dxf>
      <fill>
        <patternFill>
          <bgColor theme="6" tint="0.39994506668294322"/>
        </patternFill>
      </fill>
    </dxf>
    <dxf>
      <font>
        <color rgb="FF006600"/>
      </font>
    </dxf>
    <dxf>
      <font>
        <color theme="1" tint="0.34998626667073579"/>
      </font>
    </dxf>
    <dxf>
      <font>
        <color theme="1" tint="0.34998626667073579"/>
      </font>
    </dxf>
    <dxf>
      <font>
        <color theme="1" tint="0.34998626667073579"/>
      </font>
    </dxf>
    <dxf>
      <font>
        <color theme="1" tint="0.34998626667073579"/>
      </font>
      <numFmt numFmtId="0" formatCode="General"/>
    </dxf>
    <dxf>
      <font>
        <color theme="1" tint="0.34998626667073579"/>
      </font>
    </dxf>
    <dxf>
      <font>
        <color theme="1" tint="0.34998626667073579"/>
      </font>
    </dxf>
    <dxf>
      <font>
        <color theme="1" tint="0.34998626667073579"/>
      </font>
    </dxf>
    <dxf>
      <font>
        <color theme="1" tint="0.34998626667073579"/>
      </font>
      <numFmt numFmtId="0" formatCode="General"/>
    </dxf>
    <dxf>
      <font>
        <color theme="1" tint="0.34998626667073579"/>
      </font>
    </dxf>
    <dxf>
      <font>
        <b/>
        <i val="0"/>
        <color rgb="FF006600"/>
      </font>
    </dxf>
    <dxf>
      <font>
        <b/>
        <i val="0"/>
        <color rgb="FF006600"/>
      </font>
    </dxf>
    <dxf>
      <font>
        <color theme="1" tint="0.34998626667073579"/>
      </font>
    </dxf>
    <dxf>
      <font>
        <color theme="1" tint="0.34998626667073579"/>
      </font>
    </dxf>
    <dxf>
      <font>
        <b/>
        <i val="0"/>
        <color rgb="FF006600"/>
      </font>
    </dxf>
    <dxf>
      <font>
        <b/>
        <i val="0"/>
        <color rgb="FF006600"/>
      </font>
    </dxf>
    <dxf>
      <font>
        <b/>
        <i val="0"/>
        <color rgb="FF006600"/>
      </font>
    </dxf>
    <dxf>
      <font>
        <b/>
        <i val="0"/>
        <color rgb="FF006600"/>
      </font>
    </dxf>
    <dxf>
      <font>
        <b/>
        <i val="0"/>
        <color rgb="FF006600"/>
      </font>
    </dxf>
    <dxf>
      <font>
        <color theme="0" tint="-0.14996795556505021"/>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0" tint="-0.14996795556505021"/>
      </font>
    </dxf>
    <dxf>
      <font>
        <color theme="1" tint="0.34998626667073579"/>
      </font>
    </dxf>
    <dxf>
      <font>
        <color theme="0" tint="-0.14996795556505021"/>
      </font>
    </dxf>
    <dxf>
      <font>
        <color theme="1" tint="0.34998626667073579"/>
      </font>
    </dxf>
    <dxf>
      <font>
        <color theme="1" tint="0.34998626667073579"/>
      </font>
    </dxf>
    <dxf>
      <fill>
        <patternFill>
          <bgColor theme="6" tint="0.39994506668294322"/>
        </patternFill>
      </fill>
    </dxf>
    <dxf>
      <font>
        <color theme="0" tint="-0.34998626667073579"/>
      </font>
    </dxf>
    <dxf>
      <font>
        <color theme="0"/>
      </font>
      <fill>
        <patternFill>
          <bgColor theme="0"/>
        </patternFill>
      </fill>
    </dxf>
    <dxf>
      <fill>
        <patternFill>
          <bgColor theme="6" tint="0.39994506668294322"/>
        </patternFill>
      </fill>
    </dxf>
    <dxf>
      <fill>
        <patternFill>
          <bgColor theme="6" tint="0.39994506668294322"/>
        </patternFill>
      </fill>
    </dxf>
    <dxf>
      <font>
        <color theme="0" tint="-0.34998626667073579"/>
      </font>
    </dxf>
    <dxf>
      <font>
        <color theme="0" tint="-0.34998626667073579"/>
      </font>
    </dxf>
    <dxf>
      <font>
        <color theme="0" tint="-0.34998626667073579"/>
      </font>
      <fill>
        <patternFill patternType="solid">
          <bgColor theme="0" tint="-0.34998626667073579"/>
        </patternFill>
      </fill>
    </dxf>
    <dxf>
      <font>
        <b/>
        <i val="0"/>
        <color rgb="FF006600"/>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color theme="1" tint="0.34998626667073579"/>
      </font>
    </dxf>
    <dxf>
      <font>
        <b/>
        <i val="0"/>
        <color rgb="FFC00000"/>
      </font>
    </dxf>
    <dxf>
      <font>
        <b/>
        <i val="0"/>
        <color rgb="FF0066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5FBFD"/>
      <rgbColor rgb="00CCFFCC"/>
      <rgbColor rgb="00FFFF99"/>
      <rgbColor rgb="00C5E0F3"/>
      <rgbColor rgb="00FF99CC"/>
      <rgbColor rgb="00EAEAEA"/>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6600"/>
      <color rgb="FF008000"/>
      <color rgb="FFA6C36B"/>
      <color rgb="FFCC9900"/>
      <color rgb="FFEEEEEE"/>
      <color rgb="FFD1D1D1"/>
      <color rgb="FFE2E2E2"/>
      <color rgb="FF949494"/>
      <color rgb="FF0000FF"/>
      <color rgb="FF3333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a:t>How</a:t>
            </a:r>
            <a:r>
              <a:rPr lang="en-CA" baseline="0"/>
              <a:t> Your Budget Compares to Suggested Guidelines</a:t>
            </a:r>
            <a:endParaRPr lang="en-CA"/>
          </a:p>
        </c:rich>
      </c:tx>
      <c:layout/>
      <c:overlay val="0"/>
    </c:title>
    <c:autoTitleDeleted val="0"/>
    <c:plotArea>
      <c:layout/>
      <c:barChart>
        <c:barDir val="bar"/>
        <c:grouping val="stacked"/>
        <c:varyColors val="0"/>
        <c:ser>
          <c:idx val="0"/>
          <c:order val="0"/>
          <c:spPr>
            <a:noFill/>
          </c:spPr>
          <c:invertIfNegative val="0"/>
          <c:cat>
            <c:strRef>
              <c:f>'Budget Calculator Spreadsheet'!$I$244</c:f>
              <c:strCache>
                <c:ptCount val="1"/>
                <c:pt idx="0">
                  <c:v>Your budget will display here</c:v>
                </c:pt>
              </c:strCache>
            </c:strRef>
          </c:cat>
          <c:val>
            <c:numRef>
              <c:f>'Budget Calculator Spreadsheet'!$J$244</c:f>
              <c:numCache>
                <c:formatCode>0%</c:formatCode>
                <c:ptCount val="1"/>
                <c:pt idx="0">
                  <c:v>0</c:v>
                </c:pt>
              </c:numCache>
            </c:numRef>
          </c:val>
        </c:ser>
        <c:ser>
          <c:idx val="1"/>
          <c:order val="1"/>
          <c:spPr>
            <a:solidFill>
              <a:schemeClr val="accent3">
                <a:lumMod val="60000"/>
                <a:lumOff val="40000"/>
              </a:schemeClr>
            </a:solidFill>
          </c:spPr>
          <c:invertIfNegative val="0"/>
          <c:cat>
            <c:strRef>
              <c:f>'Budget Calculator Spreadsheet'!$I$244</c:f>
              <c:strCache>
                <c:ptCount val="1"/>
                <c:pt idx="0">
                  <c:v>Your budget will display here</c:v>
                </c:pt>
              </c:strCache>
            </c:strRef>
          </c:cat>
          <c:val>
            <c:numRef>
              <c:f>'Budget Calculator Spreadsheet'!$K$244</c:f>
              <c:numCache>
                <c:formatCode>0%</c:formatCode>
                <c:ptCount val="1"/>
                <c:pt idx="0">
                  <c:v>0.35</c:v>
                </c:pt>
              </c:numCache>
            </c:numRef>
          </c:val>
        </c:ser>
        <c:dLbls>
          <c:showLegendKey val="0"/>
          <c:showVal val="0"/>
          <c:showCatName val="0"/>
          <c:showSerName val="0"/>
          <c:showPercent val="0"/>
          <c:showBubbleSize val="0"/>
        </c:dLbls>
        <c:gapWidth val="55"/>
        <c:overlap val="100"/>
        <c:axId val="689577984"/>
        <c:axId val="689579520"/>
      </c:barChart>
      <c:catAx>
        <c:axId val="689577984"/>
        <c:scaling>
          <c:orientation val="maxMin"/>
        </c:scaling>
        <c:delete val="0"/>
        <c:axPos val="l"/>
        <c:numFmt formatCode="General" sourceLinked="1"/>
        <c:majorTickMark val="none"/>
        <c:minorTickMark val="none"/>
        <c:tickLblPos val="nextTo"/>
        <c:txPr>
          <a:bodyPr/>
          <a:lstStyle/>
          <a:p>
            <a:pPr>
              <a:defRPr>
                <a:solidFill>
                  <a:schemeClr val="bg1"/>
                </a:solidFill>
              </a:defRPr>
            </a:pPr>
            <a:endParaRPr lang="en-US"/>
          </a:p>
        </c:txPr>
        <c:crossAx val="689579520"/>
        <c:crosses val="autoZero"/>
        <c:auto val="1"/>
        <c:lblAlgn val="ctr"/>
        <c:lblOffset val="100"/>
        <c:noMultiLvlLbl val="0"/>
      </c:catAx>
      <c:valAx>
        <c:axId val="689579520"/>
        <c:scaling>
          <c:orientation val="minMax"/>
          <c:max val="0.5"/>
          <c:min val="0"/>
        </c:scaling>
        <c:delete val="0"/>
        <c:axPos val="t"/>
        <c:majorGridlines>
          <c:spPr>
            <a:ln>
              <a:solidFill>
                <a:schemeClr val="bg1">
                  <a:lumMod val="85000"/>
                </a:schemeClr>
              </a:solidFill>
            </a:ln>
          </c:spPr>
        </c:majorGridlines>
        <c:numFmt formatCode="0%" sourceLinked="1"/>
        <c:majorTickMark val="none"/>
        <c:minorTickMark val="none"/>
        <c:tickLblPos val="nextTo"/>
        <c:txPr>
          <a:bodyPr/>
          <a:lstStyle/>
          <a:p>
            <a:pPr>
              <a:defRPr>
                <a:solidFill>
                  <a:schemeClr val="bg1"/>
                </a:solidFill>
              </a:defRPr>
            </a:pPr>
            <a:endParaRPr lang="en-US"/>
          </a:p>
        </c:txPr>
        <c:crossAx val="689577984"/>
        <c:crosses val="autoZero"/>
        <c:crossBetween val="between"/>
      </c:valAx>
    </c:plotArea>
    <c:plotVisOnly val="0"/>
    <c:dispBlanksAs val="gap"/>
    <c:showDLblsOverMax val="0"/>
  </c:chart>
  <c:spPr>
    <a:ln>
      <a:noFill/>
    </a:ln>
  </c:spPr>
  <c:printSettings>
    <c:headerFooter/>
    <c:pageMargins b="0.7500000000000121" l="0.70000000000000062" r="0.70000000000000062" t="0.7500000000000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baseline="0"/>
              <a:t>    </a:t>
            </a:r>
          </a:p>
          <a:p>
            <a:pPr>
              <a:defRPr/>
            </a:pPr>
            <a:r>
              <a:rPr lang="en-CA" baseline="0"/>
              <a:t>    </a:t>
            </a:r>
            <a:endParaRPr lang="en-CA"/>
          </a:p>
        </c:rich>
      </c:tx>
      <c:layout/>
      <c:overlay val="0"/>
    </c:title>
    <c:autoTitleDeleted val="0"/>
    <c:plotArea>
      <c:layout/>
      <c:barChart>
        <c:barDir val="bar"/>
        <c:grouping val="stacked"/>
        <c:varyColors val="0"/>
        <c:ser>
          <c:idx val="0"/>
          <c:order val="0"/>
          <c:spPr>
            <a:noFill/>
          </c:spPr>
          <c:invertIfNegative val="0"/>
          <c:cat>
            <c:strRef>
              <c:f>'Budget Calculator Spreadsheet'!$I$244</c:f>
              <c:strCache>
                <c:ptCount val="1"/>
                <c:pt idx="0">
                  <c:v>Your budget will display here</c:v>
                </c:pt>
              </c:strCache>
            </c:strRef>
          </c:cat>
          <c:val>
            <c:numRef>
              <c:f>'Budget Calculator Spreadsheet'!$M$244</c:f>
              <c:numCache>
                <c:formatCode>0%</c:formatCode>
                <c:ptCount val="1"/>
                <c:pt idx="0">
                  <c:v>0.995</c:v>
                </c:pt>
              </c:numCache>
            </c:numRef>
          </c:val>
        </c:ser>
        <c:ser>
          <c:idx val="1"/>
          <c:order val="1"/>
          <c:spPr>
            <a:solidFill>
              <a:schemeClr val="accent3">
                <a:lumMod val="75000"/>
              </a:schemeClr>
            </a:solidFill>
          </c:spPr>
          <c:invertIfNegative val="0"/>
          <c:cat>
            <c:strRef>
              <c:f>'Budget Calculator Spreadsheet'!$I$244</c:f>
              <c:strCache>
                <c:ptCount val="1"/>
                <c:pt idx="0">
                  <c:v>Your budget will display here</c:v>
                </c:pt>
              </c:strCache>
            </c:strRef>
          </c:cat>
          <c:val>
            <c:numRef>
              <c:f>'Budget Calculator Spreadsheet'!$N$244</c:f>
              <c:numCache>
                <c:formatCode>0.0%</c:formatCode>
                <c:ptCount val="1"/>
                <c:pt idx="0">
                  <c:v>8.0000000000000002E-3</c:v>
                </c:pt>
              </c:numCache>
            </c:numRef>
          </c:val>
        </c:ser>
        <c:dLbls>
          <c:showLegendKey val="0"/>
          <c:showVal val="0"/>
          <c:showCatName val="0"/>
          <c:showSerName val="0"/>
          <c:showPercent val="0"/>
          <c:showBubbleSize val="0"/>
        </c:dLbls>
        <c:gapWidth val="55"/>
        <c:overlap val="100"/>
        <c:axId val="104307328"/>
        <c:axId val="104309120"/>
      </c:barChart>
      <c:catAx>
        <c:axId val="104307328"/>
        <c:scaling>
          <c:orientation val="maxMin"/>
        </c:scaling>
        <c:delete val="0"/>
        <c:axPos val="l"/>
        <c:numFmt formatCode="General" sourceLinked="1"/>
        <c:majorTickMark val="none"/>
        <c:minorTickMark val="none"/>
        <c:tickLblPos val="nextTo"/>
        <c:crossAx val="104309120"/>
        <c:crosses val="autoZero"/>
        <c:auto val="1"/>
        <c:lblAlgn val="ctr"/>
        <c:lblOffset val="100"/>
        <c:noMultiLvlLbl val="0"/>
      </c:catAx>
      <c:valAx>
        <c:axId val="104309120"/>
        <c:scaling>
          <c:orientation val="minMax"/>
          <c:max val="0.5"/>
          <c:min val="0"/>
        </c:scaling>
        <c:delete val="0"/>
        <c:axPos val="t"/>
        <c:majorGridlines>
          <c:spPr>
            <a:ln>
              <a:solidFill>
                <a:schemeClr val="bg1">
                  <a:lumMod val="85000"/>
                </a:schemeClr>
              </a:solidFill>
            </a:ln>
          </c:spPr>
        </c:majorGridlines>
        <c:numFmt formatCode="0%" sourceLinked="1"/>
        <c:majorTickMark val="none"/>
        <c:minorTickMark val="none"/>
        <c:tickLblPos val="nextTo"/>
        <c:crossAx val="104307328"/>
        <c:crosses val="autoZero"/>
        <c:crossBetween val="between"/>
      </c:valAx>
      <c:spPr>
        <a:noFill/>
      </c:spPr>
    </c:plotArea>
    <c:plotVisOnly val="0"/>
    <c:dispBlanksAs val="gap"/>
    <c:showDLblsOverMax val="0"/>
  </c:chart>
  <c:spPr>
    <a:noFill/>
    <a:ln>
      <a:noFill/>
    </a:ln>
  </c:spPr>
  <c:printSettings>
    <c:headerFooter/>
    <c:pageMargins b="0.75000000000001232" l="0.70000000000000062" r="0.70000000000000062" t="0.750000000000012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baseline="0"/>
              <a:t>    </a:t>
            </a:r>
          </a:p>
          <a:p>
            <a:pPr>
              <a:defRPr/>
            </a:pPr>
            <a:r>
              <a:rPr lang="en-CA" baseline="0"/>
              <a:t>    </a:t>
            </a:r>
            <a:endParaRPr lang="en-CA"/>
          </a:p>
        </c:rich>
      </c:tx>
      <c:layout/>
      <c:overlay val="0"/>
    </c:title>
    <c:autoTitleDeleted val="0"/>
    <c:plotArea>
      <c:layout/>
      <c:barChart>
        <c:barDir val="bar"/>
        <c:grouping val="stacked"/>
        <c:varyColors val="0"/>
        <c:ser>
          <c:idx val="0"/>
          <c:order val="0"/>
          <c:spPr>
            <a:noFill/>
          </c:spPr>
          <c:invertIfNegative val="0"/>
          <c:cat>
            <c:strRef>
              <c:f>'Budget Calculator Spreadsheet'!$F$244</c:f>
              <c:strCache>
                <c:ptCount val="1"/>
                <c:pt idx="0">
                  <c:v>Your budget will display here</c:v>
                </c:pt>
              </c:strCache>
            </c:strRef>
          </c:cat>
          <c:val>
            <c:numRef>
              <c:f>'Budget Calculator Spreadsheet'!$G$244</c:f>
              <c:numCache>
                <c:formatCode>0.0%</c:formatCode>
                <c:ptCount val="1"/>
                <c:pt idx="0">
                  <c:v>0.04</c:v>
                </c:pt>
              </c:numCache>
            </c:numRef>
          </c:val>
        </c:ser>
        <c:ser>
          <c:idx val="1"/>
          <c:order val="1"/>
          <c:spPr>
            <a:solidFill>
              <a:schemeClr val="accent6">
                <a:lumMod val="75000"/>
              </a:schemeClr>
            </a:solidFill>
          </c:spPr>
          <c:invertIfNegative val="0"/>
          <c:cat>
            <c:strRef>
              <c:f>'Budget Calculator Spreadsheet'!$F$244</c:f>
              <c:strCache>
                <c:ptCount val="1"/>
                <c:pt idx="0">
                  <c:v>Your budget will display here</c:v>
                </c:pt>
              </c:strCache>
            </c:strRef>
          </c:cat>
          <c:val>
            <c:numRef>
              <c:f>'Budget Calculator Spreadsheet'!$H$244</c:f>
              <c:numCache>
                <c:formatCode>0.0%</c:formatCode>
                <c:ptCount val="1"/>
                <c:pt idx="0">
                  <c:v>8.0000000000000002E-3</c:v>
                </c:pt>
              </c:numCache>
            </c:numRef>
          </c:val>
        </c:ser>
        <c:dLbls>
          <c:showLegendKey val="0"/>
          <c:showVal val="0"/>
          <c:showCatName val="0"/>
          <c:showSerName val="0"/>
          <c:showPercent val="0"/>
          <c:showBubbleSize val="0"/>
        </c:dLbls>
        <c:gapWidth val="55"/>
        <c:overlap val="100"/>
        <c:axId val="104329984"/>
        <c:axId val="104331520"/>
      </c:barChart>
      <c:catAx>
        <c:axId val="104329984"/>
        <c:scaling>
          <c:orientation val="maxMin"/>
        </c:scaling>
        <c:delete val="0"/>
        <c:axPos val="l"/>
        <c:numFmt formatCode="General" sourceLinked="1"/>
        <c:majorTickMark val="none"/>
        <c:minorTickMark val="none"/>
        <c:tickLblPos val="nextTo"/>
        <c:spPr>
          <a:ln>
            <a:noFill/>
          </a:ln>
        </c:spPr>
        <c:txPr>
          <a:bodyPr/>
          <a:lstStyle/>
          <a:p>
            <a:pPr>
              <a:defRPr>
                <a:noFill/>
              </a:defRPr>
            </a:pPr>
            <a:endParaRPr lang="en-US"/>
          </a:p>
        </c:txPr>
        <c:crossAx val="104331520"/>
        <c:crosses val="autoZero"/>
        <c:auto val="1"/>
        <c:lblAlgn val="ctr"/>
        <c:lblOffset val="100"/>
        <c:noMultiLvlLbl val="0"/>
      </c:catAx>
      <c:valAx>
        <c:axId val="104331520"/>
        <c:scaling>
          <c:orientation val="minMax"/>
          <c:max val="0.05"/>
          <c:min val="0"/>
        </c:scaling>
        <c:delete val="0"/>
        <c:axPos val="t"/>
        <c:majorGridlines>
          <c:spPr>
            <a:ln>
              <a:solidFill>
                <a:schemeClr val="bg1"/>
              </a:solidFill>
            </a:ln>
          </c:spPr>
        </c:majorGridlines>
        <c:numFmt formatCode="0.0%" sourceLinked="1"/>
        <c:majorTickMark val="none"/>
        <c:minorTickMark val="none"/>
        <c:tickLblPos val="nextTo"/>
        <c:spPr>
          <a:ln>
            <a:noFill/>
          </a:ln>
        </c:spPr>
        <c:txPr>
          <a:bodyPr/>
          <a:lstStyle/>
          <a:p>
            <a:pPr>
              <a:defRPr>
                <a:noFill/>
              </a:defRPr>
            </a:pPr>
            <a:endParaRPr lang="en-US"/>
          </a:p>
        </c:txPr>
        <c:crossAx val="104329984"/>
        <c:crosses val="autoZero"/>
        <c:crossBetween val="between"/>
      </c:valAx>
      <c:spPr>
        <a:noFill/>
      </c:spPr>
    </c:plotArea>
    <c:plotVisOnly val="0"/>
    <c:dispBlanksAs val="gap"/>
    <c:showDLblsOverMax val="0"/>
  </c:chart>
  <c:spPr>
    <a:noFill/>
    <a:ln>
      <a:noFill/>
    </a:ln>
  </c:spPr>
  <c:printSettings>
    <c:headerFooter/>
    <c:pageMargins b="0.75000000000001255" l="0.70000000000000062" r="0.70000000000000062" t="0.75000000000001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spPr>
            <a:noFill/>
          </c:spPr>
          <c:invertIfNegative val="0"/>
          <c:cat>
            <c:multiLvlStrRef>
              <c:f>'Budget Calculator Spreadsheet'!$I$245:$I$252</c:f>
            </c:multiLvlStrRef>
          </c:cat>
          <c:val>
            <c:numRef>
              <c:f>'Budget Calculator Spreadsheet'!$J$245:$J$252</c:f>
              <c:numCache>
                <c:formatCode>0%</c:formatCode>
                <c:ptCount val="8"/>
                <c:pt idx="0">
                  <c:v>0</c:v>
                </c:pt>
                <c:pt idx="1">
                  <c:v>0.1</c:v>
                </c:pt>
                <c:pt idx="2">
                  <c:v>0.15</c:v>
                </c:pt>
                <c:pt idx="3">
                  <c:v>0.03</c:v>
                </c:pt>
                <c:pt idx="4">
                  <c:v>0</c:v>
                </c:pt>
                <c:pt idx="5">
                  <c:v>0.05</c:v>
                </c:pt>
                <c:pt idx="6">
                  <c:v>0.05</c:v>
                </c:pt>
                <c:pt idx="7">
                  <c:v>0.05</c:v>
                </c:pt>
              </c:numCache>
            </c:numRef>
          </c:val>
        </c:ser>
        <c:ser>
          <c:idx val="1"/>
          <c:order val="1"/>
          <c:spPr>
            <a:solidFill>
              <a:schemeClr val="accent3">
                <a:lumMod val="60000"/>
                <a:lumOff val="40000"/>
              </a:schemeClr>
            </a:solidFill>
          </c:spPr>
          <c:invertIfNegative val="0"/>
          <c:cat>
            <c:multiLvlStrRef>
              <c:f>'Budget Calculator Spreadsheet'!$I$245:$I$252</c:f>
            </c:multiLvlStrRef>
          </c:cat>
          <c:val>
            <c:numRef>
              <c:f>'Budget Calculator Spreadsheet'!$K$245:$K$252</c:f>
              <c:numCache>
                <c:formatCode>0%</c:formatCode>
                <c:ptCount val="8"/>
                <c:pt idx="0">
                  <c:v>0.05</c:v>
                </c:pt>
                <c:pt idx="1">
                  <c:v>0.1</c:v>
                </c:pt>
                <c:pt idx="2">
                  <c:v>5.0000000000000017E-2</c:v>
                </c:pt>
                <c:pt idx="3">
                  <c:v>2.0000000000000004E-2</c:v>
                </c:pt>
                <c:pt idx="4">
                  <c:v>0.03</c:v>
                </c:pt>
                <c:pt idx="5">
                  <c:v>0.05</c:v>
                </c:pt>
                <c:pt idx="6">
                  <c:v>0.05</c:v>
                </c:pt>
                <c:pt idx="7">
                  <c:v>9.9999999999999992E-2</c:v>
                </c:pt>
              </c:numCache>
            </c:numRef>
          </c:val>
        </c:ser>
        <c:dLbls>
          <c:showLegendKey val="0"/>
          <c:showVal val="0"/>
          <c:showCatName val="0"/>
          <c:showSerName val="0"/>
          <c:showPercent val="0"/>
          <c:showBubbleSize val="0"/>
        </c:dLbls>
        <c:gapWidth val="55"/>
        <c:overlap val="100"/>
        <c:axId val="104471168"/>
        <c:axId val="104472960"/>
      </c:barChart>
      <c:catAx>
        <c:axId val="104471168"/>
        <c:scaling>
          <c:orientation val="maxMin"/>
        </c:scaling>
        <c:delete val="0"/>
        <c:axPos val="l"/>
        <c:numFmt formatCode="General" sourceLinked="1"/>
        <c:majorTickMark val="none"/>
        <c:minorTickMark val="none"/>
        <c:tickLblPos val="nextTo"/>
        <c:txPr>
          <a:bodyPr/>
          <a:lstStyle/>
          <a:p>
            <a:pPr>
              <a:defRPr>
                <a:solidFill>
                  <a:schemeClr val="bg1"/>
                </a:solidFill>
              </a:defRPr>
            </a:pPr>
            <a:endParaRPr lang="en-US"/>
          </a:p>
        </c:txPr>
        <c:crossAx val="104472960"/>
        <c:crosses val="autoZero"/>
        <c:auto val="1"/>
        <c:lblAlgn val="ctr"/>
        <c:lblOffset val="100"/>
        <c:noMultiLvlLbl val="0"/>
      </c:catAx>
      <c:valAx>
        <c:axId val="104472960"/>
        <c:scaling>
          <c:orientation val="minMax"/>
          <c:max val="0.30000000000000032"/>
          <c:min val="0"/>
        </c:scaling>
        <c:delete val="0"/>
        <c:axPos val="t"/>
        <c:majorGridlines>
          <c:spPr>
            <a:ln>
              <a:solidFill>
                <a:schemeClr val="bg1">
                  <a:lumMod val="85000"/>
                </a:schemeClr>
              </a:solidFill>
            </a:ln>
          </c:spPr>
        </c:majorGridlines>
        <c:numFmt formatCode="0%" sourceLinked="1"/>
        <c:majorTickMark val="none"/>
        <c:minorTickMark val="none"/>
        <c:tickLblPos val="nextTo"/>
        <c:txPr>
          <a:bodyPr/>
          <a:lstStyle/>
          <a:p>
            <a:pPr>
              <a:defRPr>
                <a:solidFill>
                  <a:schemeClr val="bg1"/>
                </a:solidFill>
              </a:defRPr>
            </a:pPr>
            <a:endParaRPr lang="en-US"/>
          </a:p>
        </c:txPr>
        <c:crossAx val="104471168"/>
        <c:crosses val="autoZero"/>
        <c:crossBetween val="between"/>
      </c:valAx>
    </c:plotArea>
    <c:plotVisOnly val="0"/>
    <c:dispBlanksAs val="gap"/>
    <c:showDLblsOverMax val="0"/>
  </c:chart>
  <c:spPr>
    <a:ln>
      <a:noFill/>
    </a:ln>
  </c:spPr>
  <c:printSettings>
    <c:headerFooter/>
    <c:pageMargins b="0.75000000000001232" l="0.70000000000000062" r="0.70000000000000062" t="0.750000000000012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spPr>
            <a:noFill/>
          </c:spPr>
          <c:invertIfNegative val="0"/>
          <c:cat>
            <c:multiLvlStrRef>
              <c:f>'Budget Calculator Spreadsheet'!$I$245:$I$252</c:f>
            </c:multiLvlStrRef>
          </c:cat>
          <c:val>
            <c:numRef>
              <c:f>'Budget Calculator Spreadsheet'!$M$245:$M$252</c:f>
              <c:numCache>
                <c:formatCode>0%</c:formatCode>
                <c:ptCount val="8"/>
                <c:pt idx="0" formatCode="General">
                  <c:v>0</c:v>
                </c:pt>
                <c:pt idx="1">
                  <c:v>0</c:v>
                </c:pt>
                <c:pt idx="2">
                  <c:v>0</c:v>
                </c:pt>
                <c:pt idx="3">
                  <c:v>0</c:v>
                </c:pt>
                <c:pt idx="4">
                  <c:v>0</c:v>
                </c:pt>
                <c:pt idx="5">
                  <c:v>0</c:v>
                </c:pt>
                <c:pt idx="6">
                  <c:v>0</c:v>
                </c:pt>
                <c:pt idx="7">
                  <c:v>0</c:v>
                </c:pt>
              </c:numCache>
            </c:numRef>
          </c:val>
        </c:ser>
        <c:ser>
          <c:idx val="1"/>
          <c:order val="1"/>
          <c:spPr>
            <a:solidFill>
              <a:schemeClr val="accent3">
                <a:lumMod val="75000"/>
              </a:schemeClr>
            </a:solidFill>
          </c:spPr>
          <c:invertIfNegative val="0"/>
          <c:cat>
            <c:multiLvlStrRef>
              <c:f>'Budget Calculator Spreadsheet'!$I$245:$I$252</c:f>
            </c:multiLvlStrRef>
          </c:cat>
          <c:val>
            <c:numRef>
              <c:f>'Budget Calculator Spreadsheet'!$N$245:$N$252</c:f>
              <c:numCache>
                <c:formatCode>0.0%</c:formatCode>
                <c:ptCount val="8"/>
                <c:pt idx="0">
                  <c:v>5.0000000000000001E-3</c:v>
                </c:pt>
                <c:pt idx="1">
                  <c:v>5.0000000000000001E-3</c:v>
                </c:pt>
                <c:pt idx="2">
                  <c:v>5.0000000000000001E-3</c:v>
                </c:pt>
                <c:pt idx="3">
                  <c:v>5.0000000000000001E-3</c:v>
                </c:pt>
                <c:pt idx="4">
                  <c:v>5.0000000000000001E-3</c:v>
                </c:pt>
                <c:pt idx="5">
                  <c:v>5.0000000000000001E-3</c:v>
                </c:pt>
                <c:pt idx="6">
                  <c:v>5.0000000000000001E-3</c:v>
                </c:pt>
                <c:pt idx="7">
                  <c:v>5.0000000000000001E-3</c:v>
                </c:pt>
              </c:numCache>
            </c:numRef>
          </c:val>
        </c:ser>
        <c:dLbls>
          <c:showLegendKey val="0"/>
          <c:showVal val="0"/>
          <c:showCatName val="0"/>
          <c:showSerName val="0"/>
          <c:showPercent val="0"/>
          <c:showBubbleSize val="0"/>
        </c:dLbls>
        <c:gapWidth val="55"/>
        <c:overlap val="100"/>
        <c:axId val="104493440"/>
        <c:axId val="104494976"/>
      </c:barChart>
      <c:catAx>
        <c:axId val="104493440"/>
        <c:scaling>
          <c:orientation val="maxMin"/>
        </c:scaling>
        <c:delete val="0"/>
        <c:axPos val="l"/>
        <c:numFmt formatCode="General" sourceLinked="1"/>
        <c:majorTickMark val="none"/>
        <c:minorTickMark val="none"/>
        <c:tickLblPos val="nextTo"/>
        <c:crossAx val="104494976"/>
        <c:crosses val="autoZero"/>
        <c:auto val="1"/>
        <c:lblAlgn val="ctr"/>
        <c:lblOffset val="100"/>
        <c:noMultiLvlLbl val="0"/>
      </c:catAx>
      <c:valAx>
        <c:axId val="104494976"/>
        <c:scaling>
          <c:orientation val="minMax"/>
          <c:max val="0.30000000000000032"/>
          <c:min val="0"/>
        </c:scaling>
        <c:delete val="0"/>
        <c:axPos val="t"/>
        <c:majorGridlines>
          <c:spPr>
            <a:ln>
              <a:solidFill>
                <a:schemeClr val="bg1">
                  <a:lumMod val="85000"/>
                </a:schemeClr>
              </a:solidFill>
            </a:ln>
          </c:spPr>
        </c:majorGridlines>
        <c:numFmt formatCode="General" sourceLinked="1"/>
        <c:majorTickMark val="none"/>
        <c:minorTickMark val="none"/>
        <c:tickLblPos val="nextTo"/>
        <c:crossAx val="104493440"/>
        <c:crosses val="autoZero"/>
        <c:crossBetween val="between"/>
      </c:valAx>
      <c:spPr>
        <a:noFill/>
      </c:spPr>
    </c:plotArea>
    <c:plotVisOnly val="0"/>
    <c:dispBlanksAs val="gap"/>
    <c:showDLblsOverMax val="0"/>
  </c:chart>
  <c:spPr>
    <a:noFill/>
    <a:ln>
      <a:noFill/>
    </a:ln>
  </c:spPr>
  <c:printSettings>
    <c:headerFooter/>
    <c:pageMargins b="0.75000000000001255" l="0.70000000000000062" r="0.70000000000000062" t="0.750000000000012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spPr>
            <a:noFill/>
          </c:spPr>
          <c:invertIfNegative val="0"/>
          <c:cat>
            <c:multiLvlStrRef>
              <c:f>'Budget Calculator Spreadsheet'!$F$245:$F$252</c:f>
            </c:multiLvlStrRef>
          </c:cat>
          <c:val>
            <c:numRef>
              <c:f>'Budget Calculator Spreadsheet'!$G$245:$G$252</c:f>
              <c:numCache>
                <c:formatCode>0.0%</c:formatCode>
                <c:ptCount val="8"/>
                <c:pt idx="0">
                  <c:v>0.04</c:v>
                </c:pt>
                <c:pt idx="1">
                  <c:v>0.04</c:v>
                </c:pt>
                <c:pt idx="2">
                  <c:v>0.04</c:v>
                </c:pt>
                <c:pt idx="3">
                  <c:v>0.04</c:v>
                </c:pt>
                <c:pt idx="4">
                  <c:v>0.04</c:v>
                </c:pt>
                <c:pt idx="5">
                  <c:v>0.04</c:v>
                </c:pt>
                <c:pt idx="6">
                  <c:v>0.04</c:v>
                </c:pt>
                <c:pt idx="7">
                  <c:v>0.04</c:v>
                </c:pt>
              </c:numCache>
            </c:numRef>
          </c:val>
        </c:ser>
        <c:ser>
          <c:idx val="1"/>
          <c:order val="1"/>
          <c:spPr>
            <a:solidFill>
              <a:schemeClr val="accent6">
                <a:lumMod val="75000"/>
              </a:schemeClr>
            </a:solidFill>
          </c:spPr>
          <c:invertIfNegative val="0"/>
          <c:cat>
            <c:multiLvlStrRef>
              <c:f>'Budget Calculator Spreadsheet'!$F$245:$F$252</c:f>
            </c:multiLvlStrRef>
          </c:cat>
          <c:val>
            <c:numRef>
              <c:f>'Budget Calculator Spreadsheet'!$H$245:$H$252</c:f>
              <c:numCache>
                <c:formatCode>0.0%</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55"/>
        <c:overlap val="100"/>
        <c:axId val="104507648"/>
        <c:axId val="104513536"/>
      </c:barChart>
      <c:catAx>
        <c:axId val="104507648"/>
        <c:scaling>
          <c:orientation val="maxMin"/>
        </c:scaling>
        <c:delete val="0"/>
        <c:axPos val="l"/>
        <c:numFmt formatCode="General" sourceLinked="1"/>
        <c:majorTickMark val="none"/>
        <c:minorTickMark val="none"/>
        <c:tickLblPos val="nextTo"/>
        <c:spPr>
          <a:ln>
            <a:noFill/>
          </a:ln>
        </c:spPr>
        <c:txPr>
          <a:bodyPr/>
          <a:lstStyle/>
          <a:p>
            <a:pPr>
              <a:defRPr>
                <a:noFill/>
              </a:defRPr>
            </a:pPr>
            <a:endParaRPr lang="en-US"/>
          </a:p>
        </c:txPr>
        <c:crossAx val="104513536"/>
        <c:crosses val="autoZero"/>
        <c:auto val="1"/>
        <c:lblAlgn val="ctr"/>
        <c:lblOffset val="100"/>
        <c:noMultiLvlLbl val="0"/>
      </c:catAx>
      <c:valAx>
        <c:axId val="104513536"/>
        <c:scaling>
          <c:orientation val="minMax"/>
          <c:max val="0.05"/>
          <c:min val="0"/>
        </c:scaling>
        <c:delete val="0"/>
        <c:axPos val="t"/>
        <c:majorGridlines>
          <c:spPr>
            <a:ln>
              <a:solidFill>
                <a:schemeClr val="bg1"/>
              </a:solidFill>
            </a:ln>
          </c:spPr>
        </c:majorGridlines>
        <c:numFmt formatCode="0.0%" sourceLinked="1"/>
        <c:majorTickMark val="none"/>
        <c:minorTickMark val="none"/>
        <c:tickLblPos val="nextTo"/>
        <c:spPr>
          <a:ln>
            <a:noFill/>
          </a:ln>
        </c:spPr>
        <c:txPr>
          <a:bodyPr/>
          <a:lstStyle/>
          <a:p>
            <a:pPr>
              <a:defRPr>
                <a:noFill/>
              </a:defRPr>
            </a:pPr>
            <a:endParaRPr lang="en-US"/>
          </a:p>
        </c:txPr>
        <c:crossAx val="104507648"/>
        <c:crosses val="autoZero"/>
        <c:crossBetween val="between"/>
      </c:valAx>
      <c:spPr>
        <a:noFill/>
        <a:ln>
          <a:noFill/>
        </a:ln>
      </c:spPr>
    </c:plotArea>
    <c:plotVisOnly val="0"/>
    <c:dispBlanksAs val="gap"/>
    <c:showDLblsOverMax val="0"/>
  </c:chart>
  <c:spPr>
    <a:noFill/>
    <a:ln>
      <a:noFill/>
    </a:ln>
  </c:spPr>
  <c:printSettings>
    <c:headerFooter/>
    <c:pageMargins b="0.75000000000001277" l="0.70000000000000062" r="0.70000000000000062" t="0.7500000000000127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a:t>Your</a:t>
            </a:r>
            <a:r>
              <a:rPr lang="en-CA" baseline="0"/>
              <a:t> Monthly Expenses by Budgeting Category</a:t>
            </a:r>
            <a:endParaRPr lang="en-CA"/>
          </a:p>
        </c:rich>
      </c:tx>
      <c:layout/>
      <c:overlay val="0"/>
    </c:title>
    <c:autoTitleDeleted val="0"/>
    <c:view3D>
      <c:rotX val="30"/>
      <c:rotY val="300"/>
      <c:rAngAx val="0"/>
      <c:perspective val="30"/>
    </c:view3D>
    <c:floor>
      <c:thickness val="0"/>
    </c:floor>
    <c:sideWall>
      <c:thickness val="0"/>
    </c:sideWall>
    <c:backWall>
      <c:thickness val="0"/>
    </c:backWall>
    <c:plotArea>
      <c:layout/>
      <c:pie3DChart>
        <c:varyColors val="1"/>
        <c:ser>
          <c:idx val="0"/>
          <c:order val="0"/>
          <c:dLbls>
            <c:showLegendKey val="0"/>
            <c:showVal val="0"/>
            <c:showCatName val="1"/>
            <c:showSerName val="0"/>
            <c:showPercent val="1"/>
            <c:showBubbleSize val="0"/>
            <c:showLeaderLines val="1"/>
          </c:dLbls>
          <c:cat>
            <c:strRef>
              <c:f>'Budget Calculator Spreadsheet'!$I$244:$I$252</c:f>
              <c:strCache>
                <c:ptCount val="1"/>
                <c:pt idx="0">
                  <c:v>Your budget will display here</c:v>
                </c:pt>
              </c:strCache>
            </c:strRef>
          </c:cat>
          <c:val>
            <c:numRef>
              <c:f>'Budget Calculator Spreadsheet'!$L$244:$L$252</c:f>
              <c:numCache>
                <c:formatCode>0.0%</c:formatCode>
                <c:ptCount val="9"/>
                <c:pt idx="0">
                  <c:v>1</c:v>
                </c:pt>
                <c:pt idx="1">
                  <c:v>0</c:v>
                </c:pt>
                <c:pt idx="2">
                  <c:v>0</c:v>
                </c:pt>
                <c:pt idx="3">
                  <c:v>0</c:v>
                </c:pt>
                <c:pt idx="4">
                  <c:v>0</c:v>
                </c:pt>
                <c:pt idx="5">
                  <c:v>0</c:v>
                </c:pt>
                <c:pt idx="6">
                  <c:v>0</c:v>
                </c:pt>
                <c:pt idx="7">
                  <c:v>0</c:v>
                </c:pt>
                <c:pt idx="8">
                  <c:v>0</c:v>
                </c:pt>
              </c:numCache>
            </c:numRef>
          </c:val>
        </c:ser>
        <c:dLbls>
          <c:showLegendKey val="0"/>
          <c:showVal val="0"/>
          <c:showCatName val="1"/>
          <c:showSerName val="0"/>
          <c:showPercent val="1"/>
          <c:showBubbleSize val="0"/>
          <c:showLeaderLines val="1"/>
        </c:dLbls>
      </c:pie3DChart>
    </c:plotArea>
    <c:plotVisOnly val="0"/>
    <c:dispBlanksAs val="gap"/>
    <c:showDLblsOverMax val="0"/>
  </c:chart>
  <c:printSettings>
    <c:headerFooter/>
    <c:pageMargins b="0.75000000000001221" l="0.70000000000000062" r="0.70000000000000062" t="0.750000000000012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a:t>Your</a:t>
            </a:r>
            <a:r>
              <a:rPr lang="en-CA" baseline="0"/>
              <a:t> Monthly Expenses by Budgeting Category</a:t>
            </a:r>
            <a:endParaRPr lang="en-CA"/>
          </a:p>
        </c:rich>
      </c:tx>
      <c:layout/>
      <c:overlay val="0"/>
    </c:title>
    <c:autoTitleDeleted val="0"/>
    <c:view3D>
      <c:rotX val="30"/>
      <c:rotY val="300"/>
      <c:rAngAx val="0"/>
      <c:perspective val="30"/>
    </c:view3D>
    <c:floor>
      <c:thickness val="0"/>
    </c:floor>
    <c:sideWall>
      <c:thickness val="0"/>
    </c:sideWall>
    <c:backWall>
      <c:thickness val="0"/>
    </c:backWall>
    <c:plotArea>
      <c:layout/>
      <c:pie3DChart>
        <c:varyColors val="1"/>
        <c:ser>
          <c:idx val="0"/>
          <c:order val="0"/>
          <c:dLbls>
            <c:showLegendKey val="0"/>
            <c:showVal val="0"/>
            <c:showCatName val="1"/>
            <c:showSerName val="0"/>
            <c:showPercent val="1"/>
            <c:showBubbleSize val="0"/>
            <c:showLeaderLines val="1"/>
          </c:dLbls>
          <c:cat>
            <c:strRef>
              <c:f>'Budget Calculator Spreadsheet'!$I$244:$I$252</c:f>
              <c:strCache>
                <c:ptCount val="1"/>
                <c:pt idx="0">
                  <c:v>Your budget will display here</c:v>
                </c:pt>
              </c:strCache>
            </c:strRef>
          </c:cat>
          <c:val>
            <c:numRef>
              <c:f>'Budget Calculator Spreadsheet'!$L$244:$L$252</c:f>
              <c:numCache>
                <c:formatCode>0.0%</c:formatCode>
                <c:ptCount val="9"/>
                <c:pt idx="0">
                  <c:v>1</c:v>
                </c:pt>
                <c:pt idx="1">
                  <c:v>0</c:v>
                </c:pt>
                <c:pt idx="2">
                  <c:v>0</c:v>
                </c:pt>
                <c:pt idx="3">
                  <c:v>0</c:v>
                </c:pt>
                <c:pt idx="4">
                  <c:v>0</c:v>
                </c:pt>
                <c:pt idx="5">
                  <c:v>0</c:v>
                </c:pt>
                <c:pt idx="6">
                  <c:v>0</c:v>
                </c:pt>
                <c:pt idx="7">
                  <c:v>0</c:v>
                </c:pt>
                <c:pt idx="8">
                  <c:v>0</c:v>
                </c:pt>
              </c:numCache>
            </c:numRef>
          </c:val>
        </c:ser>
        <c:dLbls>
          <c:showLegendKey val="0"/>
          <c:showVal val="0"/>
          <c:showCatName val="1"/>
          <c:showSerName val="0"/>
          <c:showPercent val="1"/>
          <c:showBubbleSize val="0"/>
          <c:showLeaderLines val="1"/>
        </c:dLbls>
      </c:pie3DChart>
    </c:plotArea>
    <c:plotVisOnly val="0"/>
    <c:dispBlanksAs val="gap"/>
    <c:showDLblsOverMax val="0"/>
  </c:chart>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hyperlink" Target="http://www.mymoneycoach.ca/#calc" TargetMode="External"/></Relationships>
</file>

<file path=xl/drawings/drawing1.xml><?xml version="1.0" encoding="utf-8"?>
<xdr:wsDr xmlns:xdr="http://schemas.openxmlformats.org/drawingml/2006/spreadsheetDrawing" xmlns:a="http://schemas.openxmlformats.org/drawingml/2006/main">
  <xdr:twoCellAnchor>
    <xdr:from>
      <xdr:col>25</xdr:col>
      <xdr:colOff>417285</xdr:colOff>
      <xdr:row>58</xdr:row>
      <xdr:rowOff>38101</xdr:rowOff>
    </xdr:from>
    <xdr:to>
      <xdr:col>33</xdr:col>
      <xdr:colOff>642937</xdr:colOff>
      <xdr:row>65</xdr:row>
      <xdr:rowOff>108857</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827</xdr:colOff>
      <xdr:row>58</xdr:row>
      <xdr:rowOff>38101</xdr:rowOff>
    </xdr:from>
    <xdr:to>
      <xdr:col>33</xdr:col>
      <xdr:colOff>644073</xdr:colOff>
      <xdr:row>65</xdr:row>
      <xdr:rowOff>108857</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32</xdr:col>
      <xdr:colOff>464656</xdr:colOff>
      <xdr:row>58</xdr:row>
      <xdr:rowOff>40801</xdr:rowOff>
    </xdr:from>
    <xdr:to>
      <xdr:col>33</xdr:col>
      <xdr:colOff>882098</xdr:colOff>
      <xdr:row>65</xdr:row>
      <xdr:rowOff>113214</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xdr:col>
      <xdr:colOff>417284</xdr:colOff>
      <xdr:row>64</xdr:row>
      <xdr:rowOff>131536</xdr:rowOff>
    </xdr:from>
    <xdr:to>
      <xdr:col>33</xdr:col>
      <xdr:colOff>666750</xdr:colOff>
      <xdr:row>85</xdr:row>
      <xdr:rowOff>57150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25</xdr:col>
      <xdr:colOff>417284</xdr:colOff>
      <xdr:row>64</xdr:row>
      <xdr:rowOff>131536</xdr:rowOff>
    </xdr:from>
    <xdr:to>
      <xdr:col>33</xdr:col>
      <xdr:colOff>644072</xdr:colOff>
      <xdr:row>85</xdr:row>
      <xdr:rowOff>59097</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31</xdr:col>
      <xdr:colOff>534268</xdr:colOff>
      <xdr:row>64</xdr:row>
      <xdr:rowOff>131618</xdr:rowOff>
    </xdr:from>
    <xdr:to>
      <xdr:col>33</xdr:col>
      <xdr:colOff>933449</xdr:colOff>
      <xdr:row>85</xdr:row>
      <xdr:rowOff>60910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xdr:col>
      <xdr:colOff>419099</xdr:colOff>
      <xdr:row>29</xdr:row>
      <xdr:rowOff>19049</xdr:rowOff>
    </xdr:from>
    <xdr:to>
      <xdr:col>34</xdr:col>
      <xdr:colOff>85725</xdr:colOff>
      <xdr:row>51</xdr:row>
      <xdr:rowOff>123824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26</xdr:col>
      <xdr:colOff>38100</xdr:colOff>
      <xdr:row>176</xdr:row>
      <xdr:rowOff>19050</xdr:rowOff>
    </xdr:from>
    <xdr:to>
      <xdr:col>34</xdr:col>
      <xdr:colOff>85725</xdr:colOff>
      <xdr:row>201</xdr:row>
      <xdr:rowOff>9525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25</xdr:col>
      <xdr:colOff>419099</xdr:colOff>
      <xdr:row>58</xdr:row>
      <xdr:rowOff>38100</xdr:rowOff>
    </xdr:from>
    <xdr:to>
      <xdr:col>34</xdr:col>
      <xdr:colOff>85725</xdr:colOff>
      <xdr:row>85</xdr:row>
      <xdr:rowOff>57150</xdr:rowOff>
    </xdr:to>
    <xdr:sp macro="" textlink="">
      <xdr:nvSpPr>
        <xdr:cNvPr id="12" name="Rectangle 11"/>
        <xdr:cNvSpPr/>
      </xdr:nvSpPr>
      <xdr:spPr>
        <a:xfrm>
          <a:off x="16868774" y="9277350"/>
          <a:ext cx="5391151" cy="6762750"/>
        </a:xfrm>
        <a:prstGeom prst="rect">
          <a:avLst/>
        </a:prstGeom>
        <a:noFill/>
        <a:ln w="31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clientData/>
  </xdr:twoCellAnchor>
  <xdr:twoCellAnchor editAs="oneCell">
    <xdr:from>
      <xdr:col>14</xdr:col>
      <xdr:colOff>0</xdr:colOff>
      <xdr:row>0</xdr:row>
      <xdr:rowOff>0</xdr:rowOff>
    </xdr:from>
    <xdr:to>
      <xdr:col>16</xdr:col>
      <xdr:colOff>279825</xdr:colOff>
      <xdr:row>0</xdr:row>
      <xdr:rowOff>603556</xdr:rowOff>
    </xdr:to>
    <xdr:pic>
      <xdr:nvPicPr>
        <xdr:cNvPr id="2" name="Picture 1">
          <a:hlinkClick xmlns:r="http://schemas.openxmlformats.org/officeDocument/2006/relationships" r:id="rId9"/>
        </xdr:cNvPr>
        <xdr:cNvPicPr>
          <a:picLocks noChangeAspect="1"/>
        </xdr:cNvPicPr>
      </xdr:nvPicPr>
      <xdr:blipFill>
        <a:blip xmlns:r="http://schemas.openxmlformats.org/officeDocument/2006/relationships" r:embed="rId10"/>
        <a:stretch>
          <a:fillRect/>
        </a:stretch>
      </xdr:blipFill>
      <xdr:spPr>
        <a:xfrm>
          <a:off x="12449175" y="0"/>
          <a:ext cx="1975275" cy="60355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mymoneycoach.ca/credit-counselling-society-workshops.html" TargetMode="External"/><Relationship Id="rId13" Type="http://schemas.openxmlformats.org/officeDocument/2006/relationships/hyperlink" Target="http://www.mymoneycoach.ca/budgeting/how-to-budget-your-money-bcal" TargetMode="External"/><Relationship Id="rId3" Type="http://schemas.openxmlformats.org/officeDocument/2006/relationships/hyperlink" Target="http://www.mymoneycoach.ca/why_save/how_save.html" TargetMode="External"/><Relationship Id="rId7" Type="http://schemas.openxmlformats.org/officeDocument/2006/relationships/hyperlink" Target="http://www.mymoneycoach.ca/blog/3-ways-to-create-personal-budget-plan-with-irregular-income-self-employed-student-seasonal.html" TargetMode="External"/><Relationship Id="rId12" Type="http://schemas.openxmlformats.org/officeDocument/2006/relationships/hyperlink" Target="http://www.mymoneycoach.ca/budgeting/loans-debt-credit/get-out-of-debt-bcal" TargetMode="External"/><Relationship Id="rId2" Type="http://schemas.openxmlformats.org/officeDocument/2006/relationships/hyperlink" Target="http://www.mymoneycoach.ca/impulse_spending/save_groceries.html" TargetMode="External"/><Relationship Id="rId16" Type="http://schemas.openxmlformats.org/officeDocument/2006/relationships/drawing" Target="../drawings/drawing1.xml"/><Relationship Id="rId1" Type="http://schemas.openxmlformats.org/officeDocument/2006/relationships/hyperlink" Target="http://mymoneycoach.ca/my_budget.html" TargetMode="External"/><Relationship Id="rId6" Type="http://schemas.openxmlformats.org/officeDocument/2006/relationships/hyperlink" Target="http://www.mymoneycoach.ca/budgeting/loans-debt-credit/get-debt-help-bcal" TargetMode="External"/><Relationship Id="rId11" Type="http://schemas.openxmlformats.org/officeDocument/2006/relationships/hyperlink" Target="http://www.mymoneycoach.ca/saving-money/saving-on-groceries-bcal" TargetMode="External"/><Relationship Id="rId5" Type="http://schemas.openxmlformats.org/officeDocument/2006/relationships/hyperlink" Target="http://www.mymoneycoach.ca/my_budget/out_of_debt.html" TargetMode="External"/><Relationship Id="rId15" Type="http://schemas.openxmlformats.org/officeDocument/2006/relationships/printerSettings" Target="../printerSettings/printerSettings1.bin"/><Relationship Id="rId10" Type="http://schemas.openxmlformats.org/officeDocument/2006/relationships/hyperlink" Target="http://www.budgetbytes.com/" TargetMode="External"/><Relationship Id="rId4" Type="http://schemas.openxmlformats.org/officeDocument/2006/relationships/hyperlink" Target="mailto:suggestions@mymoneycoach.ca" TargetMode="External"/><Relationship Id="rId9" Type="http://schemas.openxmlformats.org/officeDocument/2006/relationships/hyperlink" Target="http://www.mymoneycoach.ca/my_budget/budget-calculator-spreadsheet.html" TargetMode="External"/><Relationship Id="rId14" Type="http://schemas.openxmlformats.org/officeDocument/2006/relationships/hyperlink" Target="http://www.mymoneycoach.ca/saving-money/saving-tips/how-to-save-money/where-to-find-cash-bca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mymoneycoach.ca/budgeting/how-to-budget-your-money-bcal" TargetMode="External"/><Relationship Id="rId1" Type="http://schemas.openxmlformats.org/officeDocument/2006/relationships/hyperlink" Target="http://mymoneycoach.ca/my_budget.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I400"/>
  <sheetViews>
    <sheetView tabSelected="1" zoomScaleNormal="100" workbookViewId="0">
      <pane ySplit="1" topLeftCell="A2" activePane="bottomLeft" state="frozen"/>
      <selection pane="bottomLeft" activeCell="T4" sqref="T4:W4"/>
    </sheetView>
  </sheetViews>
  <sheetFormatPr defaultRowHeight="12.75" x14ac:dyDescent="0.2"/>
  <cols>
    <col min="1" max="1" width="10.7109375" style="118" hidden="1" customWidth="1"/>
    <col min="2" max="5" width="9.140625" style="118" hidden="1" customWidth="1"/>
    <col min="6" max="6" width="9.140625" style="163" hidden="1" customWidth="1"/>
    <col min="7" max="7" width="16.85546875" style="163" hidden="1" customWidth="1"/>
    <col min="8" max="8" width="38.7109375" style="163" hidden="1" customWidth="1"/>
    <col min="9" max="9" width="28.140625" style="163" hidden="1" customWidth="1"/>
    <col min="10" max="10" width="10" style="163" hidden="1" customWidth="1"/>
    <col min="11" max="14" width="9.140625" style="163" hidden="1" customWidth="1"/>
    <col min="15" max="15" width="20.7109375" style="18" customWidth="1"/>
    <col min="16" max="16" width="4.7109375" style="18" customWidth="1"/>
    <col min="17" max="17" width="15.7109375" style="18" customWidth="1"/>
    <col min="18" max="18" width="5.7109375" style="18" customWidth="1"/>
    <col min="19" max="19" width="10.7109375" style="18" customWidth="1"/>
    <col min="20" max="20" width="5.5703125" style="18" customWidth="1"/>
    <col min="21" max="21" width="9.85546875" style="18" customWidth="1"/>
    <col min="22" max="22" width="4.5703125" style="18" customWidth="1"/>
    <col min="23" max="23" width="9.42578125" style="18" customWidth="1"/>
    <col min="24" max="24" width="26.140625" style="4" customWidth="1"/>
    <col min="25" max="25" width="5.5703125" style="4" customWidth="1"/>
    <col min="26" max="26" width="6.28515625" style="4" customWidth="1"/>
    <col min="27" max="30" width="9.140625" style="4"/>
    <col min="31" max="31" width="11.7109375" style="4" customWidth="1"/>
    <col min="32" max="32" width="7.5703125" style="4" customWidth="1"/>
    <col min="33" max="33" width="9.140625" style="4"/>
    <col min="34" max="34" width="15.5703125" style="4" customWidth="1"/>
    <col min="35" max="35" width="3.7109375" style="4" customWidth="1"/>
    <col min="36" max="16384" width="9.140625" style="4"/>
  </cols>
  <sheetData>
    <row r="1" spans="1:61" s="20" customFormat="1" ht="51" customHeight="1" x14ac:dyDescent="0.2">
      <c r="A1" s="162"/>
      <c r="B1" s="162"/>
      <c r="C1" s="162"/>
      <c r="D1" s="162"/>
      <c r="E1" s="162"/>
      <c r="F1" s="163"/>
      <c r="G1" s="163"/>
      <c r="H1" s="163"/>
      <c r="I1" s="163"/>
      <c r="J1" s="163"/>
      <c r="K1" s="163"/>
      <c r="L1" s="163"/>
      <c r="M1" s="163"/>
      <c r="N1" s="164"/>
      <c r="O1" s="276" t="str">
        <f>IF(AND(T205&gt;0,T37&lt;=0),"",IF(T205=0,"",IF(AND(T1&gt;1,T1&lt;1.005),"Your expenses are over",IF(T1&gt;=1,"Your expenses are",IF(T1&gt;=0.98,"You've allocated",IF(T1&lt;0.98,"So far you've used",""))))))</f>
        <v/>
      </c>
      <c r="P1" s="276"/>
      <c r="Q1" s="276"/>
      <c r="R1" s="276"/>
      <c r="S1" s="276"/>
      <c r="T1" s="65" t="str">
        <f>IF(AND(T205&gt;0,T37&lt;=0), "", IF(T205=0, "", T205/T37))</f>
        <v/>
      </c>
      <c r="U1" s="66" t="str">
        <f>IF(AND(T205&gt;0,T37&lt;=0), "", IF(T205=0, "", IF(T1&gt;1, "of your income.", IF(T1&gt;=0.98, "of your income.", IF(T1&lt;0.98, "of your income.", "")))))</f>
        <v/>
      </c>
      <c r="V1" s="67"/>
      <c r="W1" s="68" t="str">
        <f>IF(T37=0, "", IF((T205/T37)&lt;=0.98, "", T205/T37))</f>
        <v/>
      </c>
      <c r="X1" s="335" t="str">
        <f>IF(T12="On", IF(AND(W209="Yes", W212="Yes"), "", IF(AND(T10=0,M37=0), "Welcome! Start by entering your name and indicate your responses to the areas highlighted in green.", IF(AND(T10=0,M37&gt;0), "Please select the number of people who will be supported by this budget (probably the number of people who live in your home) in one of the green boxes near the top of this worksheet.", IF(AND(T10&gt;0,T37=0), IF(T8="- Select -","Select the type of budget you would like to create, and indicate the number of people supported by this budget.", "Enter your income in the green highlighted areas below along with any savings, student loans, or other lump sum of money you have or will have for this term in the 'Lump Sum Funds' section."), IF(AND(T16&gt;0,T10&gt;0,OR(T25="",T25=0),T205=0),"If you have any savings, a student loan, or any other lump sum of money you plan to use to pay for up-front school expenses or to provide you with a source of income during school, enter amount(s) below.", IF(AND(G376&gt;2,W209="Yes",OR(W212="Select",W212="No",W212="")), J299, IF(AND(T205&gt;0,T37&lt;=0), "Please enter your income in the green highlighted area near the top of this worksheet. You can't have a budget without income to budget (and you'll limit this calculator's ability to help you with your budget).", IF(AND(T1&gt;1.01,J323=9), CONCATENATE(J294), IF(AND((T205/T37)&gt;1.01,J323&lt;9), CONCATENATE(J295,IF(T180="",J296,""),J297), IF(AND(M37&gt;=1,T205=0),CONCATENATE(J292), IF(AND(M57&gt;0,M81=0), CONCATENATE(J293),IF(AND(M184&lt;1,M128&lt;1,OR(M70&gt;0,M81&gt;0,M96&gt;0)),"The maximum suggested spending amounts for each expense category are only meant to be used as a guide. Spending the maximum amount in one category may mean that you'll need to cut back in another category for your budget to balance.", IF(AND(M203&gt;0,M203&lt;3,T203&lt;200,T1&lt;0.99), "Tip: For credit cards, line of credit, and overdraft, start by entering your minimum payments. If you have money left when you're finished your budget, you can come back and increase your payments to pay down your debt more quickly.", IF(AND(T205&gt;0,T1&lt;0.99), CONCATENATE("Try to allocate 100% of your income.", IF(AND(T1&gt;0.7,M187&gt;13), " Consider using any extra money to pay down your debt.", " Savings is always a great place to put extra money.")), IF(AND(T1&gt;1,T205&gt;99.99),"Look for places in your budget to reduce expenses.", IF(AND(T1&gt;0.99,T1&lt;=1),"Good job! Now every dollar you earn has a home.",IF(T1&lt;=0.99,"Tip: Try to allocate 100% of your income in the expense categories below.", IF(SUM(Q25:Q27)&gt;0, J298, IF(AND(OR(T37&gt;0,K28&gt;0),T36&gt;500),"Once you're finished entering your income, money for school, and up-front expenses, you can enter your monthly expenses below.", ""))))))))))))))))))), "")</f>
        <v>Welcome! Start by entering your name and indicate your responses to the areas highlighted in green.</v>
      </c>
      <c r="Y1" s="335"/>
      <c r="Z1" s="335"/>
      <c r="AA1" s="335"/>
      <c r="AB1" s="335"/>
      <c r="AC1" s="335"/>
      <c r="AD1" s="335"/>
      <c r="AE1" s="335"/>
      <c r="AF1" s="335"/>
      <c r="AG1" s="335"/>
      <c r="AH1" s="335"/>
      <c r="AI1" s="67"/>
      <c r="AJ1" s="19"/>
      <c r="AO1" s="334" t="s">
        <v>442</v>
      </c>
      <c r="AP1" s="334"/>
    </row>
    <row r="2" spans="1:61" s="22" customFormat="1" ht="19.5" customHeight="1" x14ac:dyDescent="0.3">
      <c r="A2" s="162"/>
      <c r="B2" s="165"/>
      <c r="C2" s="165" t="str">
        <f>T4</f>
        <v>First Name</v>
      </c>
      <c r="D2" s="162">
        <f>IF($T$8=F2,1,0)</f>
        <v>0</v>
      </c>
      <c r="E2" s="166">
        <v>1</v>
      </c>
      <c r="F2" s="163" t="s">
        <v>344</v>
      </c>
      <c r="G2" s="163"/>
      <c r="H2" s="162" t="s">
        <v>409</v>
      </c>
      <c r="I2" s="163" t="str">
        <f>IF(OR(T4="First Name", T4=""), CONCATENATE(K2), CONCATENATE(PROPER(T4),J2,K2))</f>
        <v>Take Home Income</v>
      </c>
      <c r="J2" s="167" t="s">
        <v>102</v>
      </c>
      <c r="K2" s="163" t="s">
        <v>147</v>
      </c>
      <c r="L2" s="163" t="s">
        <v>74</v>
      </c>
      <c r="M2" s="163" t="s">
        <v>27</v>
      </c>
      <c r="N2" s="167" t="s">
        <v>105</v>
      </c>
      <c r="O2" s="136" t="s">
        <v>396</v>
      </c>
      <c r="P2" s="126"/>
      <c r="Q2" s="123"/>
      <c r="R2" s="123"/>
      <c r="S2" s="123"/>
      <c r="T2" s="336"/>
      <c r="U2" s="336"/>
      <c r="V2" s="336"/>
      <c r="W2" s="336"/>
      <c r="X2" s="70"/>
      <c r="Y2" s="70"/>
      <c r="Z2" s="70"/>
      <c r="AA2" s="29"/>
      <c r="AB2" s="71"/>
      <c r="AC2" s="71"/>
      <c r="AD2" s="71"/>
      <c r="AE2" s="71"/>
      <c r="AF2" s="72"/>
      <c r="AG2" s="71"/>
      <c r="AH2" s="71"/>
      <c r="AI2" s="70"/>
      <c r="AJ2" s="21"/>
      <c r="AK2" s="21"/>
      <c r="AL2" s="21"/>
      <c r="AM2" s="21"/>
      <c r="AN2" s="21"/>
      <c r="AO2" s="20"/>
      <c r="AP2" s="20"/>
      <c r="AQ2" s="21"/>
      <c r="AR2" s="20"/>
      <c r="AS2" s="20"/>
      <c r="AT2" s="20"/>
      <c r="AU2" s="20"/>
      <c r="AV2" s="20"/>
      <c r="AW2" s="20"/>
      <c r="AX2" s="20"/>
      <c r="AY2" s="20"/>
      <c r="AZ2" s="20"/>
      <c r="BA2" s="20"/>
      <c r="BB2" s="20"/>
      <c r="BC2" s="20"/>
      <c r="BD2" s="20"/>
      <c r="BE2" s="20"/>
      <c r="BF2" s="20"/>
      <c r="BG2" s="20"/>
      <c r="BH2" s="20"/>
      <c r="BI2" s="20"/>
    </row>
    <row r="3" spans="1:61" s="22" customFormat="1" ht="19.5" x14ac:dyDescent="0.3">
      <c r="A3" s="162"/>
      <c r="B3" s="162"/>
      <c r="C3" s="162" t="str">
        <f>T6</f>
        <v>First Name</v>
      </c>
      <c r="D3" s="162">
        <f>IF($T$8=F3,1,0)</f>
        <v>0</v>
      </c>
      <c r="E3" s="166">
        <v>2</v>
      </c>
      <c r="F3" s="163" t="s">
        <v>343</v>
      </c>
      <c r="G3" s="163"/>
      <c r="H3" s="163" t="s">
        <v>74</v>
      </c>
      <c r="I3" s="163" t="str">
        <f>IF(OR(T6="First Name", T6=""), CONCATENATE(K3,N3), CONCATENATE(PROPER(T6),J3,K3))</f>
        <v>Take Home Income 2</v>
      </c>
      <c r="J3" s="167" t="s">
        <v>102</v>
      </c>
      <c r="K3" s="163" t="s">
        <v>147</v>
      </c>
      <c r="L3" s="163" t="s">
        <v>72</v>
      </c>
      <c r="M3" s="163" t="s">
        <v>28</v>
      </c>
      <c r="N3" s="167" t="s">
        <v>104</v>
      </c>
      <c r="O3" s="69"/>
      <c r="P3" s="126"/>
      <c r="Q3" s="123"/>
      <c r="R3" s="123"/>
      <c r="S3" s="123"/>
      <c r="T3" s="336"/>
      <c r="U3" s="336"/>
      <c r="V3" s="336"/>
      <c r="W3" s="336"/>
      <c r="X3" s="70"/>
      <c r="Y3" s="70"/>
      <c r="Z3" s="70"/>
      <c r="AA3" s="71"/>
      <c r="AB3" s="71"/>
      <c r="AC3" s="71"/>
      <c r="AD3" s="71"/>
      <c r="AE3" s="71"/>
      <c r="AF3" s="72"/>
      <c r="AG3" s="71"/>
      <c r="AH3" s="71"/>
      <c r="AI3" s="70"/>
      <c r="AJ3" s="21"/>
      <c r="AK3" s="21"/>
      <c r="AL3" s="21"/>
      <c r="AM3" s="21"/>
      <c r="AN3" s="21"/>
      <c r="AO3" s="20"/>
      <c r="AP3" s="20"/>
      <c r="AQ3" s="21"/>
      <c r="AR3" s="20"/>
      <c r="AS3" s="20"/>
      <c r="AT3" s="20"/>
      <c r="AU3" s="20"/>
      <c r="AV3" s="20"/>
      <c r="AW3" s="20"/>
      <c r="AX3" s="20"/>
      <c r="AY3" s="20"/>
      <c r="AZ3" s="20"/>
      <c r="BA3" s="20"/>
      <c r="BB3" s="20"/>
      <c r="BC3" s="20"/>
      <c r="BD3" s="20"/>
      <c r="BE3" s="20"/>
      <c r="BF3" s="20"/>
      <c r="BG3" s="20"/>
      <c r="BH3" s="20"/>
      <c r="BI3" s="20"/>
    </row>
    <row r="4" spans="1:61" ht="15.95" customHeight="1" x14ac:dyDescent="0.2">
      <c r="F4" s="167" t="s">
        <v>342</v>
      </c>
      <c r="H4" s="163" t="s">
        <v>72</v>
      </c>
      <c r="I4" s="163" t="str">
        <f>IF(OR(T4="First Name", T4=""), CONCATENATE(K4), CONCATENATE(PROPER(T4),J4,K4))</f>
        <v>Second Income</v>
      </c>
      <c r="J4" s="167" t="s">
        <v>102</v>
      </c>
      <c r="K4" s="163" t="s">
        <v>33</v>
      </c>
      <c r="L4" s="163" t="s">
        <v>201</v>
      </c>
      <c r="M4" s="163" t="s">
        <v>97</v>
      </c>
      <c r="N4" s="168">
        <f>IF(OR(T4="First Name",T4=""), 0, 1)</f>
        <v>0</v>
      </c>
      <c r="O4" s="64" t="s">
        <v>96</v>
      </c>
      <c r="P4" s="64"/>
      <c r="Q4" s="64"/>
      <c r="R4" s="64"/>
      <c r="S4" s="64"/>
      <c r="T4" s="339" t="s">
        <v>385</v>
      </c>
      <c r="U4" s="339"/>
      <c r="V4" s="339"/>
      <c r="W4" s="339"/>
      <c r="X4" s="340" t="s">
        <v>99</v>
      </c>
      <c r="Y4" s="341" t="s">
        <v>98</v>
      </c>
      <c r="Z4" s="73"/>
      <c r="AA4" s="74"/>
      <c r="AB4" s="74"/>
      <c r="AC4" s="74"/>
      <c r="AD4" s="74"/>
      <c r="AE4" s="74"/>
      <c r="AF4" s="74"/>
      <c r="AG4" s="74"/>
      <c r="AH4" s="74"/>
      <c r="AI4" s="73"/>
      <c r="AJ4" s="3"/>
      <c r="AK4" s="3"/>
      <c r="AL4" s="3"/>
      <c r="AM4" s="3"/>
      <c r="AN4" s="3"/>
      <c r="AO4" s="2"/>
      <c r="AP4" s="2"/>
      <c r="AQ4" s="3"/>
      <c r="AR4" s="26"/>
      <c r="AS4" s="26"/>
      <c r="AT4" s="26"/>
      <c r="AU4" s="26"/>
      <c r="AV4" s="26"/>
      <c r="AW4" s="26"/>
      <c r="AX4" s="26"/>
      <c r="AY4" s="26"/>
      <c r="AZ4" s="26"/>
      <c r="BA4" s="26"/>
      <c r="BB4" s="26"/>
      <c r="BC4" s="26"/>
      <c r="BD4" s="26"/>
      <c r="BE4" s="26"/>
      <c r="BF4" s="26"/>
      <c r="BG4" s="26"/>
      <c r="BH4" s="26"/>
      <c r="BI4" s="26"/>
    </row>
    <row r="5" spans="1:61" ht="6.95" customHeight="1" x14ac:dyDescent="0.2">
      <c r="H5" s="163" t="s">
        <v>201</v>
      </c>
      <c r="I5" s="163" t="str">
        <f>IF(OR(T6="First Name", T6=""), CONCATENATE(K5,N3), CONCATENATE(PROPER(T6),J5,K5))</f>
        <v>Second Income 2</v>
      </c>
      <c r="J5" s="167" t="s">
        <v>102</v>
      </c>
      <c r="K5" s="163" t="s">
        <v>33</v>
      </c>
      <c r="L5" s="163" t="s">
        <v>73</v>
      </c>
      <c r="M5" s="163" t="s">
        <v>98</v>
      </c>
      <c r="N5" s="168"/>
      <c r="O5" s="75"/>
      <c r="P5" s="75"/>
      <c r="Q5" s="75"/>
      <c r="R5" s="75"/>
      <c r="S5" s="75"/>
      <c r="T5" s="323"/>
      <c r="U5" s="323"/>
      <c r="V5" s="323"/>
      <c r="W5" s="323"/>
      <c r="X5" s="340"/>
      <c r="Y5" s="341"/>
      <c r="Z5" s="73"/>
      <c r="AA5" s="74"/>
      <c r="AB5" s="74"/>
      <c r="AC5" s="74"/>
      <c r="AD5" s="74"/>
      <c r="AE5" s="74"/>
      <c r="AF5" s="74"/>
      <c r="AG5" s="74"/>
      <c r="AH5" s="74"/>
      <c r="AI5" s="73"/>
      <c r="AJ5" s="3"/>
      <c r="AK5" s="3"/>
      <c r="AL5" s="3"/>
      <c r="AM5" s="3"/>
      <c r="AN5" s="3"/>
      <c r="AO5" s="2"/>
      <c r="AP5" s="2"/>
      <c r="AQ5" s="3"/>
      <c r="AR5" s="26"/>
      <c r="AS5" s="26"/>
      <c r="AT5" s="26"/>
      <c r="AU5" s="26"/>
      <c r="AV5" s="26"/>
      <c r="AW5" s="26"/>
      <c r="AX5" s="26"/>
      <c r="AY5" s="26"/>
      <c r="AZ5" s="26"/>
      <c r="BA5" s="26"/>
      <c r="BB5" s="26"/>
      <c r="BC5" s="26"/>
      <c r="BD5" s="26"/>
      <c r="BE5" s="26"/>
      <c r="BF5" s="26"/>
      <c r="BG5" s="26"/>
      <c r="BH5" s="26"/>
      <c r="BI5" s="26"/>
    </row>
    <row r="6" spans="1:61" ht="15.95" customHeight="1" x14ac:dyDescent="0.25">
      <c r="H6" s="163" t="s">
        <v>73</v>
      </c>
      <c r="I6" s="163" t="str">
        <f>K7</f>
        <v>Part-Time Income</v>
      </c>
      <c r="J6" s="167"/>
      <c r="K6" s="163" t="s">
        <v>52</v>
      </c>
      <c r="L6" s="163" t="s">
        <v>71</v>
      </c>
      <c r="M6" s="163" t="s">
        <v>79</v>
      </c>
      <c r="N6" s="168">
        <f>IF(OR(T6="First Name",T6=""), 0, 1)</f>
        <v>0</v>
      </c>
      <c r="O6" s="64" t="str">
        <f>IF(Y4="Yes", "What is your partner's name?", "")</f>
        <v/>
      </c>
      <c r="P6" s="64"/>
      <c r="Q6" s="64"/>
      <c r="R6" s="64"/>
      <c r="S6" s="64"/>
      <c r="T6" s="339" t="s">
        <v>385</v>
      </c>
      <c r="U6" s="339"/>
      <c r="V6" s="339"/>
      <c r="W6" s="339"/>
      <c r="X6" s="340"/>
      <c r="Y6" s="76"/>
      <c r="Z6" s="76"/>
      <c r="AA6" s="154"/>
      <c r="AB6" s="154"/>
      <c r="AC6" s="154"/>
      <c r="AD6" s="154"/>
      <c r="AE6" s="154"/>
      <c r="AF6" s="154"/>
      <c r="AG6" s="154"/>
      <c r="AH6" s="154"/>
      <c r="AI6" s="154"/>
      <c r="AJ6" s="154"/>
      <c r="AK6" s="3"/>
      <c r="AL6" s="3"/>
      <c r="AM6" s="3"/>
      <c r="AN6" s="3"/>
      <c r="AO6" s="2"/>
      <c r="AP6" s="2"/>
      <c r="AQ6" s="3"/>
      <c r="AR6" s="26"/>
      <c r="AS6" s="26"/>
      <c r="AT6" s="26"/>
      <c r="AU6" s="26"/>
      <c r="AV6" s="26"/>
      <c r="AW6" s="26"/>
      <c r="AX6" s="26"/>
      <c r="AY6" s="26"/>
      <c r="AZ6" s="26"/>
      <c r="BA6" s="26"/>
      <c r="BB6" s="26"/>
      <c r="BC6" s="26"/>
      <c r="BD6" s="26"/>
      <c r="BE6" s="26"/>
      <c r="BF6" s="26"/>
      <c r="BG6" s="26"/>
      <c r="BH6" s="26"/>
      <c r="BI6" s="26"/>
    </row>
    <row r="7" spans="1:61" ht="6.95" customHeight="1" x14ac:dyDescent="0.25">
      <c r="H7" s="163" t="s">
        <v>71</v>
      </c>
      <c r="I7" s="163" t="str">
        <f>K8</f>
        <v>Commission</v>
      </c>
      <c r="J7" s="167"/>
      <c r="K7" s="163" t="s">
        <v>431</v>
      </c>
      <c r="L7" s="163" t="s">
        <v>76</v>
      </c>
      <c r="O7" s="75"/>
      <c r="P7" s="75"/>
      <c r="Q7" s="75"/>
      <c r="R7" s="75"/>
      <c r="S7" s="75"/>
      <c r="T7" s="323"/>
      <c r="U7" s="323"/>
      <c r="V7" s="323"/>
      <c r="W7" s="323"/>
      <c r="X7" s="70"/>
      <c r="Y7" s="76"/>
      <c r="Z7" s="76"/>
      <c r="AA7" s="154"/>
      <c r="AB7" s="154"/>
      <c r="AC7" s="154"/>
      <c r="AD7" s="154"/>
      <c r="AE7" s="154"/>
      <c r="AF7" s="154"/>
      <c r="AG7" s="154"/>
      <c r="AH7" s="154"/>
      <c r="AI7" s="154"/>
      <c r="AJ7" s="154"/>
      <c r="AK7" s="3"/>
      <c r="AL7" s="3"/>
      <c r="AM7" s="3"/>
      <c r="AN7" s="3"/>
      <c r="AO7" s="2"/>
      <c r="AP7" s="2"/>
      <c r="AQ7" s="3"/>
      <c r="AR7" s="26"/>
      <c r="AS7" s="26"/>
      <c r="AT7" s="26"/>
      <c r="AU7" s="26"/>
      <c r="AV7" s="26"/>
      <c r="AW7" s="26"/>
      <c r="AX7" s="26"/>
      <c r="AY7" s="26"/>
      <c r="AZ7" s="26"/>
      <c r="BA7" s="26"/>
      <c r="BB7" s="26"/>
      <c r="BC7" s="26"/>
      <c r="BD7" s="26"/>
      <c r="BE7" s="26"/>
      <c r="BF7" s="26"/>
      <c r="BG7" s="26"/>
      <c r="BH7" s="26"/>
      <c r="BI7" s="26"/>
    </row>
    <row r="8" spans="1:61" ht="31.5" customHeight="1" x14ac:dyDescent="0.25">
      <c r="F8" s="163" t="s">
        <v>378</v>
      </c>
      <c r="H8" s="163" t="s">
        <v>76</v>
      </c>
      <c r="I8" s="163" t="str">
        <f>K9</f>
        <v>Tips</v>
      </c>
      <c r="J8" s="167"/>
      <c r="K8" s="163" t="s">
        <v>39</v>
      </c>
      <c r="L8" s="163" t="s">
        <v>78</v>
      </c>
      <c r="M8" s="163" t="s">
        <v>367</v>
      </c>
      <c r="N8" s="168">
        <f>T10-(N4+N6)</f>
        <v>0</v>
      </c>
      <c r="O8" s="64" t="s">
        <v>341</v>
      </c>
      <c r="P8" s="64"/>
      <c r="Q8" s="64"/>
      <c r="R8" s="64"/>
      <c r="S8" s="64"/>
      <c r="T8" s="330" t="s">
        <v>342</v>
      </c>
      <c r="U8" s="330"/>
      <c r="V8" s="330"/>
      <c r="W8" s="330"/>
      <c r="X8" s="330"/>
      <c r="Y8" s="330"/>
      <c r="Z8" s="76"/>
      <c r="AA8" s="227" t="str">
        <f>IF(OR(T12="Off",W209="Yes"), "", IF(T10&gt;1, "Note", ""))</f>
        <v/>
      </c>
      <c r="AB8" s="227"/>
      <c r="AC8" s="227"/>
      <c r="AD8" s="227"/>
      <c r="AE8" s="227"/>
      <c r="AF8" s="227"/>
      <c r="AG8" s="227"/>
      <c r="AH8" s="227"/>
      <c r="AI8" s="155"/>
      <c r="AJ8" s="154"/>
      <c r="AK8" s="3"/>
      <c r="AL8" s="3"/>
      <c r="AM8" s="3"/>
      <c r="AN8" s="3"/>
      <c r="AO8" s="27"/>
      <c r="AP8" s="27"/>
      <c r="AQ8" s="3"/>
      <c r="AR8" s="27"/>
      <c r="AS8" s="27"/>
      <c r="AT8" s="27"/>
      <c r="AU8" s="27"/>
      <c r="AV8" s="27"/>
      <c r="AW8" s="27"/>
      <c r="AX8" s="27"/>
      <c r="AY8" s="27"/>
      <c r="AZ8" s="27"/>
      <c r="BA8" s="27"/>
      <c r="BB8" s="27"/>
      <c r="BC8" s="27"/>
      <c r="BD8" s="27"/>
      <c r="BE8" s="27"/>
      <c r="BF8" s="27"/>
      <c r="BG8" s="27"/>
      <c r="BH8" s="27"/>
      <c r="BI8" s="27"/>
    </row>
    <row r="9" spans="1:61" ht="6.95" customHeight="1" x14ac:dyDescent="0.25">
      <c r="H9" s="163" t="s">
        <v>78</v>
      </c>
      <c r="I9" s="163" t="str">
        <f>K21</f>
        <v>Bonus</v>
      </c>
      <c r="J9" s="167"/>
      <c r="K9" s="163" t="s">
        <v>38</v>
      </c>
      <c r="L9" s="163" t="s">
        <v>71</v>
      </c>
      <c r="O9" s="75"/>
      <c r="P9" s="75"/>
      <c r="Q9" s="75"/>
      <c r="R9" s="75"/>
      <c r="S9" s="75"/>
      <c r="T9" s="120"/>
      <c r="U9" s="120"/>
      <c r="V9" s="120"/>
      <c r="W9" s="120"/>
      <c r="X9" s="70"/>
      <c r="Y9" s="76"/>
      <c r="Z9" s="76"/>
      <c r="AA9" s="227"/>
      <c r="AB9" s="227"/>
      <c r="AC9" s="227"/>
      <c r="AD9" s="227"/>
      <c r="AE9" s="227"/>
      <c r="AF9" s="227"/>
      <c r="AG9" s="227"/>
      <c r="AH9" s="227"/>
      <c r="AI9" s="155"/>
      <c r="AJ9" s="154"/>
      <c r="AK9" s="3"/>
      <c r="AL9" s="3"/>
      <c r="AM9" s="3"/>
      <c r="AN9" s="3"/>
      <c r="AO9" s="27"/>
      <c r="AP9" s="27"/>
      <c r="AQ9" s="3"/>
      <c r="AR9" s="27"/>
      <c r="AS9" s="27"/>
      <c r="AT9" s="27"/>
      <c r="AU9" s="27"/>
      <c r="AV9" s="27"/>
      <c r="AW9" s="27"/>
      <c r="AX9" s="27"/>
      <c r="AY9" s="27"/>
      <c r="AZ9" s="27"/>
      <c r="BA9" s="27"/>
      <c r="BB9" s="27"/>
      <c r="BC9" s="27"/>
      <c r="BD9" s="27"/>
      <c r="BE9" s="27"/>
      <c r="BF9" s="27"/>
      <c r="BG9" s="27"/>
      <c r="BH9" s="27"/>
      <c r="BI9" s="27"/>
    </row>
    <row r="10" spans="1:61" ht="15.95" customHeight="1" x14ac:dyDescent="0.25">
      <c r="I10" s="163" t="str">
        <f>K10</f>
        <v>Child Tax Benefits</v>
      </c>
      <c r="J10" s="167"/>
      <c r="K10" s="163" t="s">
        <v>34</v>
      </c>
      <c r="L10" s="163" t="s">
        <v>78</v>
      </c>
      <c r="N10" s="168">
        <f>COUNTIF(O16:O23,"Disability Income")</f>
        <v>0</v>
      </c>
      <c r="O10" s="64" t="s">
        <v>146</v>
      </c>
      <c r="P10" s="64"/>
      <c r="Q10" s="64"/>
      <c r="R10" s="64"/>
      <c r="S10" s="64"/>
      <c r="T10" s="63">
        <f>IF(Y4="Yes", 2, IF(N4=1,1,IF((T70+T81+T96+T108+T128+T172+T184+T203)&gt;400,1,0)))</f>
        <v>0</v>
      </c>
      <c r="U10" s="337" t="s">
        <v>170</v>
      </c>
      <c r="V10" s="337"/>
      <c r="W10" s="337"/>
      <c r="X10" s="337"/>
      <c r="Y10" s="76"/>
      <c r="Z10" s="76"/>
      <c r="AA10" s="252" t="str">
        <f>IF(OR(T12="Off",W209="Yes"), "", IF(T10&gt;1, "If you are a mature student with an established household and family, you may want to use the full, regular version of our Budgeting Calculator.", ""))</f>
        <v/>
      </c>
      <c r="AB10" s="252"/>
      <c r="AC10" s="252"/>
      <c r="AD10" s="252"/>
      <c r="AE10" s="252"/>
      <c r="AF10" s="252"/>
      <c r="AG10" s="252"/>
      <c r="AH10" s="252"/>
      <c r="AI10" s="155"/>
      <c r="AJ10" s="154"/>
      <c r="AK10" s="3"/>
      <c r="AL10" s="3"/>
      <c r="AM10" s="3"/>
      <c r="AN10" s="3"/>
      <c r="AO10" s="2"/>
      <c r="AP10" s="2"/>
      <c r="AQ10" s="3"/>
      <c r="AR10" s="26"/>
      <c r="AS10" s="26"/>
      <c r="AT10" s="26"/>
      <c r="AU10" s="26"/>
      <c r="AV10" s="26"/>
      <c r="AW10" s="26"/>
      <c r="AX10" s="26"/>
      <c r="AY10" s="26"/>
      <c r="AZ10" s="26"/>
      <c r="BA10" s="26"/>
      <c r="BB10" s="26"/>
      <c r="BC10" s="26"/>
      <c r="BD10" s="26"/>
      <c r="BE10" s="26"/>
      <c r="BF10" s="26"/>
      <c r="BG10" s="26"/>
      <c r="BH10" s="26"/>
      <c r="BI10" s="26"/>
    </row>
    <row r="11" spans="1:61" ht="6.95" customHeight="1" x14ac:dyDescent="0.3">
      <c r="I11" s="163" t="str">
        <f>K11</f>
        <v>Support Payments</v>
      </c>
      <c r="J11" s="167"/>
      <c r="K11" s="163" t="s">
        <v>35</v>
      </c>
      <c r="N11" s="168">
        <f>COUNTIF(O16:O23,"Social Assistance")</f>
        <v>0</v>
      </c>
      <c r="O11" s="75"/>
      <c r="P11" s="75"/>
      <c r="Q11" s="75"/>
      <c r="R11" s="75"/>
      <c r="S11" s="75"/>
      <c r="T11" s="77"/>
      <c r="U11" s="326" t="s">
        <v>171</v>
      </c>
      <c r="V11" s="327"/>
      <c r="W11" s="327"/>
      <c r="X11" s="327"/>
      <c r="Y11" s="76"/>
      <c r="Z11" s="76"/>
      <c r="AA11" s="252"/>
      <c r="AB11" s="252"/>
      <c r="AC11" s="252"/>
      <c r="AD11" s="252"/>
      <c r="AE11" s="252"/>
      <c r="AF11" s="252"/>
      <c r="AG11" s="252"/>
      <c r="AH11" s="252"/>
      <c r="AI11" s="155"/>
      <c r="AJ11" s="154"/>
      <c r="AK11" s="3"/>
      <c r="AL11" s="3"/>
      <c r="AM11" s="3"/>
      <c r="AN11" s="3"/>
      <c r="AO11" s="2"/>
      <c r="AP11" s="2"/>
      <c r="AQ11" s="3"/>
      <c r="AR11" s="26"/>
      <c r="AS11" s="26"/>
      <c r="AT11" s="26"/>
      <c r="AU11" s="26"/>
      <c r="AV11" s="26"/>
      <c r="AW11" s="26"/>
      <c r="AX11" s="26"/>
      <c r="AY11" s="26"/>
      <c r="AZ11" s="26"/>
      <c r="BA11" s="26"/>
      <c r="BB11" s="26"/>
      <c r="BC11" s="26"/>
      <c r="BD11" s="26"/>
      <c r="BE11" s="26"/>
      <c r="BF11" s="26"/>
      <c r="BG11" s="26"/>
      <c r="BH11" s="26"/>
      <c r="BI11" s="26"/>
    </row>
    <row r="12" spans="1:61" s="7" customFormat="1" ht="22.5" customHeight="1" x14ac:dyDescent="0.25">
      <c r="A12" s="118"/>
      <c r="B12" s="118"/>
      <c r="C12" s="118"/>
      <c r="D12" s="118"/>
      <c r="E12" s="118"/>
      <c r="F12" s="163"/>
      <c r="G12" s="163"/>
      <c r="H12" s="163" t="s">
        <v>409</v>
      </c>
      <c r="I12" s="163" t="str">
        <f>K12</f>
        <v>Social Assistance</v>
      </c>
      <c r="J12" s="167"/>
      <c r="K12" s="163" t="s">
        <v>70</v>
      </c>
      <c r="L12" s="163"/>
      <c r="M12" s="163"/>
      <c r="N12" s="168">
        <f>SUM(N10:N11)</f>
        <v>0</v>
      </c>
      <c r="O12" s="78" t="s">
        <v>100</v>
      </c>
      <c r="P12" s="78"/>
      <c r="Q12" s="78"/>
      <c r="R12" s="78"/>
      <c r="S12" s="78"/>
      <c r="T12" s="79" t="s">
        <v>27</v>
      </c>
      <c r="U12" s="327"/>
      <c r="V12" s="327"/>
      <c r="W12" s="327"/>
      <c r="X12" s="327"/>
      <c r="Y12" s="76"/>
      <c r="Z12" s="76"/>
      <c r="AA12" s="252"/>
      <c r="AB12" s="252"/>
      <c r="AC12" s="252"/>
      <c r="AD12" s="252"/>
      <c r="AE12" s="252"/>
      <c r="AF12" s="252"/>
      <c r="AG12" s="252"/>
      <c r="AH12" s="252"/>
      <c r="AI12" s="155"/>
      <c r="AJ12" s="154"/>
      <c r="AK12" s="5"/>
      <c r="AL12" s="5"/>
      <c r="AM12" s="5"/>
      <c r="AN12" s="5"/>
      <c r="AO12" s="2"/>
      <c r="AP12" s="2"/>
      <c r="AQ12" s="6"/>
      <c r="AR12" s="8"/>
      <c r="AS12" s="8"/>
      <c r="AT12" s="8"/>
      <c r="AU12" s="8"/>
      <c r="AV12" s="8"/>
      <c r="AW12" s="8"/>
      <c r="AX12" s="8"/>
      <c r="AY12" s="8"/>
      <c r="AZ12" s="8"/>
      <c r="BA12" s="8"/>
      <c r="BB12" s="8"/>
      <c r="BC12" s="8"/>
      <c r="BD12" s="8"/>
      <c r="BE12" s="8"/>
      <c r="BF12" s="8"/>
      <c r="BG12" s="8"/>
      <c r="BH12" s="8"/>
      <c r="BI12" s="8"/>
    </row>
    <row r="13" spans="1:61" s="7" customFormat="1" ht="6.95" customHeight="1" x14ac:dyDescent="0.25">
      <c r="A13" s="118"/>
      <c r="B13" s="118"/>
      <c r="C13" s="118"/>
      <c r="D13" s="118"/>
      <c r="E13" s="118"/>
      <c r="F13" s="118" t="s">
        <v>10</v>
      </c>
      <c r="G13" s="163"/>
      <c r="H13" s="163" t="s">
        <v>346</v>
      </c>
      <c r="I13" s="163" t="str">
        <f>K13</f>
        <v>Disability Income</v>
      </c>
      <c r="J13" s="167"/>
      <c r="K13" s="169" t="s">
        <v>152</v>
      </c>
      <c r="L13" s="163"/>
      <c r="M13" s="163"/>
      <c r="N13" s="163"/>
      <c r="O13" s="80"/>
      <c r="P13" s="80"/>
      <c r="Q13" s="80"/>
      <c r="R13" s="80"/>
      <c r="S13" s="80"/>
      <c r="T13" s="81"/>
      <c r="U13" s="82"/>
      <c r="V13" s="82"/>
      <c r="W13" s="82"/>
      <c r="X13" s="83"/>
      <c r="Y13" s="76"/>
      <c r="Z13" s="76"/>
      <c r="AA13" s="257" t="str">
        <f>IF(OR(T12="Off",W209="Yes"), "", IF(T10&gt;1, "Click here to access our regular Budgeting Calculator", ""))</f>
        <v/>
      </c>
      <c r="AB13" s="257"/>
      <c r="AC13" s="257"/>
      <c r="AD13" s="257"/>
      <c r="AE13" s="257"/>
      <c r="AF13" s="257"/>
      <c r="AG13" s="257"/>
      <c r="AH13" s="257"/>
      <c r="AI13" s="155"/>
      <c r="AJ13" s="154"/>
      <c r="AK13" s="5"/>
      <c r="AL13" s="5"/>
      <c r="AM13" s="5"/>
      <c r="AN13" s="5"/>
      <c r="AO13" s="2"/>
      <c r="AP13" s="2"/>
      <c r="AQ13" s="6"/>
      <c r="AR13" s="8"/>
      <c r="AS13" s="8"/>
      <c r="AT13" s="8"/>
      <c r="AU13" s="8"/>
      <c r="AV13" s="8"/>
      <c r="AW13" s="8"/>
      <c r="AX13" s="8"/>
      <c r="AY13" s="8"/>
      <c r="AZ13" s="8"/>
      <c r="BA13" s="8"/>
      <c r="BB13" s="8"/>
      <c r="BC13" s="8"/>
      <c r="BD13" s="8"/>
      <c r="BE13" s="8"/>
      <c r="BF13" s="8"/>
      <c r="BG13" s="8"/>
      <c r="BH13" s="8"/>
      <c r="BI13" s="8"/>
    </row>
    <row r="14" spans="1:61" s="7" customFormat="1" ht="17.25" customHeight="1" x14ac:dyDescent="0.25">
      <c r="A14" s="118"/>
      <c r="B14" s="118"/>
      <c r="C14" s="118"/>
      <c r="D14" s="118"/>
      <c r="E14" s="118"/>
      <c r="F14" s="118" t="s">
        <v>435</v>
      </c>
      <c r="G14" s="163"/>
      <c r="H14" s="163"/>
      <c r="I14" s="163" t="str">
        <f>IF(OR(T4="First Name", T4=""), CONCATENATE(K14), CONCATENATE(PROPER(T4),J14,K14))</f>
        <v>Pension</v>
      </c>
      <c r="J14" s="167" t="s">
        <v>102</v>
      </c>
      <c r="K14" s="163" t="s">
        <v>36</v>
      </c>
      <c r="L14" s="163"/>
      <c r="M14" s="163"/>
      <c r="N14" s="163"/>
      <c r="O14" s="253" t="s">
        <v>60</v>
      </c>
      <c r="P14" s="253"/>
      <c r="Q14" s="253"/>
      <c r="R14" s="253"/>
      <c r="S14" s="253"/>
      <c r="T14" s="253"/>
      <c r="U14" s="253"/>
      <c r="V14" s="253"/>
      <c r="W14" s="253"/>
      <c r="X14" s="253"/>
      <c r="Y14" s="76"/>
      <c r="Z14" s="76"/>
      <c r="AA14" s="257"/>
      <c r="AB14" s="257"/>
      <c r="AC14" s="257"/>
      <c r="AD14" s="257"/>
      <c r="AE14" s="257"/>
      <c r="AF14" s="257"/>
      <c r="AG14" s="257"/>
      <c r="AH14" s="257"/>
      <c r="AI14" s="155"/>
      <c r="AJ14" s="154"/>
      <c r="AK14" s="6"/>
      <c r="AL14" s="6"/>
      <c r="AM14" s="6"/>
      <c r="AN14" s="6"/>
      <c r="AO14" s="2"/>
      <c r="AP14" s="2"/>
      <c r="AQ14" s="6"/>
      <c r="AR14" s="8"/>
      <c r="AS14" s="8"/>
      <c r="AT14" s="8"/>
      <c r="AU14" s="8"/>
      <c r="AV14" s="8"/>
      <c r="AW14" s="8"/>
      <c r="AX14" s="8"/>
      <c r="AY14" s="8"/>
      <c r="AZ14" s="8"/>
      <c r="BA14" s="8"/>
      <c r="BB14" s="8"/>
      <c r="BC14" s="8"/>
      <c r="BD14" s="8"/>
      <c r="BE14" s="8"/>
      <c r="BF14" s="8"/>
      <c r="BG14" s="8"/>
      <c r="BH14" s="8"/>
      <c r="BI14" s="8"/>
    </row>
    <row r="15" spans="1:61" s="7" customFormat="1" ht="33.75" customHeight="1" x14ac:dyDescent="0.25">
      <c r="A15" s="118"/>
      <c r="B15" s="118"/>
      <c r="C15" s="118"/>
      <c r="D15" s="118"/>
      <c r="E15" s="118"/>
      <c r="F15" s="118" t="s">
        <v>436</v>
      </c>
      <c r="G15" s="163"/>
      <c r="H15" s="163" t="s">
        <v>406</v>
      </c>
      <c r="I15" s="163" t="str">
        <f>IF(OR(T6="First Name", T6=""), CONCATENATE(K15,N3), CONCATENATE(PROPER(T6),J15,K15))</f>
        <v>Pension 2</v>
      </c>
      <c r="J15" s="167" t="s">
        <v>102</v>
      </c>
      <c r="K15" s="163" t="s">
        <v>36</v>
      </c>
      <c r="L15" s="163"/>
      <c r="M15" s="163"/>
      <c r="N15" s="163"/>
      <c r="O15" s="260" t="s">
        <v>432</v>
      </c>
      <c r="P15" s="260"/>
      <c r="Q15" s="260"/>
      <c r="R15" s="260"/>
      <c r="S15" s="260"/>
      <c r="T15" s="234" t="s">
        <v>80</v>
      </c>
      <c r="U15" s="234"/>
      <c r="V15" s="234" t="s">
        <v>79</v>
      </c>
      <c r="W15" s="234"/>
      <c r="X15" s="62" t="s">
        <v>40</v>
      </c>
      <c r="Y15" s="76"/>
      <c r="Z15" s="76"/>
      <c r="AA15" s="250" t="str">
        <f>IF(OR(T12="Off",W209="Yes"), "", IF(SUM(N16:N23)&gt;99, "Income Tip 1", ""))</f>
        <v/>
      </c>
      <c r="AB15" s="250"/>
      <c r="AC15" s="250"/>
      <c r="AD15" s="250"/>
      <c r="AE15" s="250"/>
      <c r="AF15" s="250"/>
      <c r="AG15" s="250"/>
      <c r="AH15" s="250"/>
      <c r="AI15" s="155"/>
      <c r="AJ15" s="154"/>
      <c r="AK15" s="6"/>
      <c r="AL15" s="6"/>
      <c r="AM15" s="6"/>
      <c r="AN15" s="6"/>
      <c r="AO15" s="2"/>
      <c r="AP15" s="2"/>
      <c r="AQ15" s="6"/>
      <c r="AR15" s="8"/>
      <c r="AS15" s="8"/>
      <c r="AT15" s="8"/>
      <c r="AU15" s="8"/>
      <c r="AV15" s="8"/>
      <c r="AW15" s="8"/>
      <c r="AX15" s="8"/>
      <c r="AY15" s="8"/>
      <c r="AZ15" s="8"/>
      <c r="BA15" s="8"/>
      <c r="BB15" s="8"/>
      <c r="BC15" s="8"/>
      <c r="BD15" s="8"/>
      <c r="BE15" s="8"/>
      <c r="BF15" s="8"/>
      <c r="BG15" s="8"/>
      <c r="BH15" s="8"/>
      <c r="BI15" s="8"/>
    </row>
    <row r="16" spans="1:61" s="7" customFormat="1" ht="15" customHeight="1" x14ac:dyDescent="0.25">
      <c r="A16" s="118"/>
      <c r="B16" s="118" t="str">
        <f t="shared" ref="B16:B23" si="0">V16</f>
        <v>bi-weekly</v>
      </c>
      <c r="C16" s="118" t="str">
        <f>IF(T16="", "", IF(B16="weekly", T16*52, IF(B16="bi-weekly", T16*26, IF(B16="bi-weekly actual", T16*24, IF(B16="semi-monthly", T16*24, IF(B16="monthly", T16*12, IF(B16="every 2 months", T16*6, IF(B16="every 3 months", T16*4, IF(B16="quarterly", T16*4, IF(B16="every 4 months", T16*3, IF(B16="every 6 months", T16*2, IF(B16="every 8 months", T16*1.5, IF(B16="every 10 months", T16*1.2, IF(B16="annually", T16, 0))))))))))))))</f>
        <v/>
      </c>
      <c r="D16" s="118" t="s">
        <v>78</v>
      </c>
      <c r="E16" s="118" t="str">
        <f t="shared" ref="E16:E23" si="1">C16</f>
        <v/>
      </c>
      <c r="F16" s="118" t="s">
        <v>53</v>
      </c>
      <c r="G16" s="163"/>
      <c r="H16" s="167" t="s">
        <v>405</v>
      </c>
      <c r="I16" s="163" t="str">
        <f>IF(OR(T4="First Name", T4=""), CONCATENATE(K16), CONCATENATE(PROPER(T4),J16,K16))</f>
        <v>OAS</v>
      </c>
      <c r="J16" s="167" t="s">
        <v>102</v>
      </c>
      <c r="K16" s="163" t="s">
        <v>75</v>
      </c>
      <c r="L16" s="163"/>
      <c r="M16" s="168">
        <f>COUNTIF(T16,"&gt;0")</f>
        <v>0</v>
      </c>
      <c r="N16" s="170">
        <f t="shared" ref="N16:N23" si="2">IF(V16="weekly",(T16*52)/12,IF(V16="bi-weekly",(T16*26)/12,IF(V16="bi-weekly actual",(T16*24)/12,IF(V16="semi-monthly",(T16*24)/12,IF(V16="monthly",(T16*12)/12,IF(V16="quarterly",(T16*4)/12,IF(V16="annually",(T16*1)/12,"")))))))</f>
        <v>0</v>
      </c>
      <c r="O16" s="268" t="s">
        <v>147</v>
      </c>
      <c r="P16" s="268"/>
      <c r="Q16" s="268"/>
      <c r="R16" s="268"/>
      <c r="S16" s="268"/>
      <c r="T16" s="328"/>
      <c r="U16" s="328"/>
      <c r="V16" s="324" t="s">
        <v>72</v>
      </c>
      <c r="W16" s="324"/>
      <c r="X16" s="137" t="str">
        <f>IF(AND($T$16&gt;0,$T$17="",$T$18="",$T$19="",$T$20="",$T$21="",$T$22="",$T$23="",$T$205=0,V16="bi-weekly"), "&lt;&lt; You can select how", "")</f>
        <v/>
      </c>
      <c r="Y16" s="86"/>
      <c r="Z16" s="76"/>
      <c r="AA16" s="229" t="str">
        <f>IF(OR(T12="Off",W209="Yes"), "", IF(SUM(N16:N23)&gt;99, J310, ""))</f>
        <v/>
      </c>
      <c r="AB16" s="229"/>
      <c r="AC16" s="229"/>
      <c r="AD16" s="229"/>
      <c r="AE16" s="229"/>
      <c r="AF16" s="229"/>
      <c r="AG16" s="229"/>
      <c r="AH16" s="229"/>
      <c r="AI16" s="155"/>
      <c r="AJ16" s="154"/>
      <c r="AK16" s="6"/>
      <c r="AL16" s="6"/>
      <c r="AM16" s="6"/>
      <c r="AN16" s="6"/>
      <c r="AO16" s="2"/>
      <c r="AP16" s="2"/>
      <c r="AQ16" s="6"/>
      <c r="AR16" s="8"/>
      <c r="AS16" s="8"/>
      <c r="AT16" s="8"/>
      <c r="AU16" s="8"/>
      <c r="AV16" s="8"/>
      <c r="AW16" s="8"/>
      <c r="AX16" s="8"/>
      <c r="AY16" s="8"/>
      <c r="AZ16" s="8"/>
      <c r="BA16" s="8"/>
      <c r="BB16" s="8"/>
      <c r="BC16" s="8"/>
      <c r="BD16" s="8"/>
      <c r="BE16" s="8"/>
      <c r="BF16" s="8"/>
      <c r="BG16" s="8"/>
      <c r="BH16" s="8"/>
      <c r="BI16" s="8"/>
    </row>
    <row r="17" spans="1:61" s="7" customFormat="1" ht="15" x14ac:dyDescent="0.25">
      <c r="A17" s="118"/>
      <c r="B17" s="118" t="str">
        <f t="shared" si="0"/>
        <v>bi-weekly</v>
      </c>
      <c r="C17" s="118" t="str">
        <f t="shared" ref="C17:C23" si="3">IF(T17="", "", IF(B17="weekly", T17*52, IF(B17="bi-weekly", T17*26, IF(B17="semi-monthly", T17*24, IF(B17="monthly", T17*12, IF(B17="every 2 months", T17*6, IF(B17="every 3 months", T17*4, IF(B17="quarterly", T17*4, IF(B17="every 4 months", T17*3, IF(B17="every 6 months", T17*2, IF(B17="every 8 months", T17*1.5, IF(B17="every 10 months", T17*1.2, IF(B17="annually", T17, 0)))))))))))))</f>
        <v/>
      </c>
      <c r="D17" s="118" t="s">
        <v>78</v>
      </c>
      <c r="E17" s="118" t="str">
        <f t="shared" si="1"/>
        <v/>
      </c>
      <c r="F17" s="163" t="s">
        <v>44</v>
      </c>
      <c r="G17" s="163"/>
      <c r="H17" s="163"/>
      <c r="I17" s="163" t="str">
        <f>IF(OR(T6="First Name", T6=""), CONCATENATE(K17,N3), CONCATENATE(PROPER(T6),J17,K17))</f>
        <v>OAS 2</v>
      </c>
      <c r="J17" s="167" t="s">
        <v>102</v>
      </c>
      <c r="K17" s="163" t="s">
        <v>75</v>
      </c>
      <c r="L17" s="163"/>
      <c r="M17" s="168">
        <f t="shared" ref="M17:M36" si="4">COUNTIF(T17,"&gt;0")</f>
        <v>0</v>
      </c>
      <c r="N17" s="170">
        <f t="shared" si="2"/>
        <v>0</v>
      </c>
      <c r="O17" s="329" t="s">
        <v>431</v>
      </c>
      <c r="P17" s="329"/>
      <c r="Q17" s="329"/>
      <c r="R17" s="329"/>
      <c r="S17" s="329"/>
      <c r="T17" s="325"/>
      <c r="U17" s="325"/>
      <c r="V17" s="238" t="s">
        <v>72</v>
      </c>
      <c r="W17" s="238"/>
      <c r="X17" s="42" t="str">
        <f>IF(AND($T$16&gt;0,$T$17="",$T$18="",$T$19="",$T$20="",$T$21="",$T$22="",$T$23="",$T$205=0,V16="bi-weekly"), "     often you get paid", "")</f>
        <v/>
      </c>
      <c r="Y17" s="76"/>
      <c r="Z17" s="76"/>
      <c r="AA17" s="229"/>
      <c r="AB17" s="229"/>
      <c r="AC17" s="229"/>
      <c r="AD17" s="229"/>
      <c r="AE17" s="229"/>
      <c r="AF17" s="229"/>
      <c r="AG17" s="229"/>
      <c r="AH17" s="229"/>
      <c r="AI17" s="155"/>
      <c r="AJ17" s="154"/>
      <c r="AK17" s="6"/>
      <c r="AL17" s="6"/>
      <c r="AM17" s="6"/>
      <c r="AN17" s="6"/>
      <c r="AO17" s="2"/>
      <c r="AP17" s="2"/>
      <c r="AQ17" s="6"/>
      <c r="AR17" s="8"/>
      <c r="AS17" s="8"/>
      <c r="AT17" s="8"/>
      <c r="AU17" s="8"/>
      <c r="AV17" s="8"/>
      <c r="AW17" s="8"/>
      <c r="AX17" s="8"/>
      <c r="AY17" s="8"/>
      <c r="AZ17" s="8"/>
      <c r="BA17" s="8"/>
      <c r="BB17" s="8"/>
      <c r="BC17" s="8"/>
      <c r="BD17" s="8"/>
      <c r="BE17" s="8"/>
      <c r="BF17" s="8"/>
      <c r="BG17" s="8"/>
      <c r="BH17" s="8"/>
      <c r="BI17" s="8"/>
    </row>
    <row r="18" spans="1:61" s="7" customFormat="1" ht="15" x14ac:dyDescent="0.25">
      <c r="A18" s="118"/>
      <c r="B18" s="118" t="str">
        <f t="shared" si="0"/>
        <v>bi-weekly</v>
      </c>
      <c r="C18" s="118" t="str">
        <f t="shared" si="3"/>
        <v/>
      </c>
      <c r="D18" s="118" t="s">
        <v>78</v>
      </c>
      <c r="E18" s="118" t="str">
        <f t="shared" si="1"/>
        <v/>
      </c>
      <c r="F18" s="160" t="s">
        <v>438</v>
      </c>
      <c r="G18" s="163"/>
      <c r="H18" s="163"/>
      <c r="I18" s="163" t="str">
        <f>IF(OR(T4="First Name", T4=""), CONCATENATE(K18), CONCATENATE(PROPER(T4),J18,K18))</f>
        <v>RRIF</v>
      </c>
      <c r="J18" s="167" t="s">
        <v>102</v>
      </c>
      <c r="K18" s="163" t="s">
        <v>103</v>
      </c>
      <c r="L18" s="163"/>
      <c r="M18" s="168">
        <f t="shared" si="4"/>
        <v>0</v>
      </c>
      <c r="N18" s="170">
        <f t="shared" si="2"/>
        <v>0</v>
      </c>
      <c r="O18" s="268" t="s">
        <v>38</v>
      </c>
      <c r="P18" s="268"/>
      <c r="Q18" s="268"/>
      <c r="R18" s="268"/>
      <c r="S18" s="268"/>
      <c r="T18" s="328"/>
      <c r="U18" s="328"/>
      <c r="V18" s="240" t="s">
        <v>72</v>
      </c>
      <c r="W18" s="240"/>
      <c r="X18" s="137" t="str">
        <f>IF(AND($T$16&gt;0,$T$17="",$T$18="",$T$19="",$T$20="",$T$21="",$T$22="",$T$23="",$T$205=0,V16="bi-weekly"), "     (click on 'bi-weekly' then", "")</f>
        <v/>
      </c>
      <c r="Y18" s="76"/>
      <c r="Z18" s="76"/>
      <c r="AA18" s="229"/>
      <c r="AB18" s="229"/>
      <c r="AC18" s="229"/>
      <c r="AD18" s="229"/>
      <c r="AE18" s="229"/>
      <c r="AF18" s="229"/>
      <c r="AG18" s="229"/>
      <c r="AH18" s="229"/>
      <c r="AI18" s="155"/>
      <c r="AJ18" s="154"/>
      <c r="AK18" s="6"/>
      <c r="AL18" s="6"/>
      <c r="AM18" s="6"/>
      <c r="AN18" s="6"/>
      <c r="AO18" s="8"/>
      <c r="AP18" s="8"/>
      <c r="AQ18" s="6"/>
      <c r="AR18" s="8"/>
      <c r="AS18" s="8"/>
      <c r="AT18" s="8"/>
      <c r="AU18" s="8"/>
      <c r="AV18" s="8"/>
      <c r="AW18" s="8"/>
      <c r="AX18" s="8"/>
      <c r="AY18" s="8"/>
      <c r="AZ18" s="8"/>
      <c r="BA18" s="8"/>
      <c r="BB18" s="8"/>
      <c r="BC18" s="8"/>
      <c r="BD18" s="8"/>
      <c r="BE18" s="8"/>
      <c r="BF18" s="8"/>
      <c r="BG18" s="8"/>
      <c r="BH18" s="8"/>
      <c r="BI18" s="8"/>
    </row>
    <row r="19" spans="1:61" s="7" customFormat="1" ht="15" x14ac:dyDescent="0.25">
      <c r="A19" s="118"/>
      <c r="B19" s="118" t="str">
        <f t="shared" si="0"/>
        <v>monthly</v>
      </c>
      <c r="C19" s="118" t="str">
        <f t="shared" si="3"/>
        <v/>
      </c>
      <c r="D19" s="118" t="s">
        <v>78</v>
      </c>
      <c r="E19" s="118" t="str">
        <f t="shared" si="1"/>
        <v/>
      </c>
      <c r="F19" s="118" t="s">
        <v>437</v>
      </c>
      <c r="G19" s="163"/>
      <c r="H19" s="163"/>
      <c r="I19" s="163" t="s">
        <v>345</v>
      </c>
      <c r="J19" s="167" t="s">
        <v>102</v>
      </c>
      <c r="K19" s="163" t="s">
        <v>103</v>
      </c>
      <c r="L19" s="163"/>
      <c r="M19" s="168">
        <f t="shared" si="4"/>
        <v>0</v>
      </c>
      <c r="N19" s="170">
        <f t="shared" si="2"/>
        <v>0</v>
      </c>
      <c r="O19" s="236"/>
      <c r="P19" s="236"/>
      <c r="Q19" s="236"/>
      <c r="R19" s="236"/>
      <c r="S19" s="236"/>
      <c r="T19" s="325"/>
      <c r="U19" s="325"/>
      <c r="V19" s="238" t="s">
        <v>71</v>
      </c>
      <c r="W19" s="238"/>
      <c r="X19" s="42" t="str">
        <f>IF(AND($T$16&gt;0,$T$17="",$T$18="",$T$19="",$T$20="",$T$21="",$T$22="",$T$23="",$T$205=0,V16="bi-weekly"), "     click on the arrow to", "")</f>
        <v/>
      </c>
      <c r="Y19" s="76"/>
      <c r="Z19" s="76"/>
      <c r="AA19" s="156"/>
      <c r="AB19" s="156"/>
      <c r="AC19" s="156"/>
      <c r="AD19" s="156"/>
      <c r="AE19" s="156"/>
      <c r="AF19" s="156"/>
      <c r="AG19" s="156"/>
      <c r="AH19" s="156"/>
      <c r="AI19" s="155"/>
      <c r="AJ19" s="154"/>
      <c r="AK19" s="6"/>
      <c r="AL19" s="6"/>
      <c r="AM19" s="6"/>
      <c r="AN19" s="6"/>
      <c r="AO19" s="8"/>
      <c r="AP19" s="8"/>
      <c r="AQ19" s="6"/>
      <c r="AR19" s="8"/>
      <c r="AS19" s="8"/>
      <c r="AT19" s="8"/>
      <c r="AU19" s="8"/>
      <c r="AV19" s="8"/>
      <c r="AW19" s="8"/>
      <c r="AX19" s="8"/>
      <c r="AY19" s="8"/>
      <c r="AZ19" s="8"/>
      <c r="BA19" s="8"/>
      <c r="BB19" s="8"/>
      <c r="BC19" s="8"/>
      <c r="BD19" s="8"/>
      <c r="BE19" s="8"/>
      <c r="BF19" s="8"/>
      <c r="BG19" s="8"/>
      <c r="BH19" s="8"/>
      <c r="BI19" s="8"/>
    </row>
    <row r="20" spans="1:61" s="7" customFormat="1" ht="15" x14ac:dyDescent="0.25">
      <c r="A20" s="118"/>
      <c r="B20" s="118" t="str">
        <f t="shared" si="0"/>
        <v>monthly</v>
      </c>
      <c r="C20" s="118" t="str">
        <f t="shared" si="3"/>
        <v/>
      </c>
      <c r="D20" s="118" t="s">
        <v>78</v>
      </c>
      <c r="E20" s="118" t="str">
        <f t="shared" si="1"/>
        <v/>
      </c>
      <c r="F20" s="160" t="s">
        <v>433</v>
      </c>
      <c r="G20" s="163"/>
      <c r="H20" s="163"/>
      <c r="I20" s="163" t="str">
        <f>K20</f>
        <v>Investment Income</v>
      </c>
      <c r="J20" s="167"/>
      <c r="K20" s="163" t="s">
        <v>68</v>
      </c>
      <c r="L20" s="163"/>
      <c r="M20" s="168">
        <f t="shared" si="4"/>
        <v>0</v>
      </c>
      <c r="N20" s="170">
        <f>IF(V20="weekly",(T20*52)/12,IF(V20="bi-weekly",(T20*26)/12,IF(V20="bi-weekly actual",(T20*24)/12,IF(V20="semi-monthly",(T20*24)/12,IF(V20="monthly",(T20*12)/12,IF(V20="quarterly",(T20*4)/12,IF(V20="annually",(T20*1)/12,"")))))))</f>
        <v>0</v>
      </c>
      <c r="O20" s="268"/>
      <c r="P20" s="268"/>
      <c r="Q20" s="268"/>
      <c r="R20" s="268"/>
      <c r="S20" s="268"/>
      <c r="T20" s="328"/>
      <c r="U20" s="328"/>
      <c r="V20" s="240" t="s">
        <v>71</v>
      </c>
      <c r="W20" s="240"/>
      <c r="X20" s="137" t="str">
        <f>IF(AND($T$16&gt;0,$T$17="",$T$18="",$T$19="",$T$20="",$T$21="",$T$22="",$T$23="",$T$205=0,V16="bi-weekly"), "     see a drop-down menu)", "")</f>
        <v/>
      </c>
      <c r="Y20" s="76"/>
      <c r="Z20" s="76"/>
      <c r="AA20" s="50"/>
      <c r="AB20" s="157" t="str">
        <f>IF(OR(T12="Off",W209="Yes"), "", IF(SUM(N16:N23)&gt;99, "Article:", ""))</f>
        <v/>
      </c>
      <c r="AC20" s="226" t="str">
        <f>IF(OR(T12="Off",W209="Yes"), "", IF(SUM(N16:N23)&gt;99, "3 Strategies to Budget for Irregular Income", ""))</f>
        <v/>
      </c>
      <c r="AD20" s="226"/>
      <c r="AE20" s="226"/>
      <c r="AF20" s="226"/>
      <c r="AG20" s="156"/>
      <c r="AH20" s="156"/>
      <c r="AI20" s="155"/>
      <c r="AJ20" s="154"/>
      <c r="AK20" s="6"/>
      <c r="AL20" s="6"/>
      <c r="AM20" s="6"/>
      <c r="AN20" s="6"/>
      <c r="AO20" s="8"/>
      <c r="AP20" s="8"/>
      <c r="AQ20" s="6"/>
      <c r="AR20" s="8"/>
      <c r="AS20" s="8"/>
      <c r="AT20" s="8"/>
      <c r="AU20" s="8"/>
      <c r="AV20" s="8"/>
      <c r="AW20" s="8"/>
      <c r="AX20" s="8"/>
      <c r="AY20" s="8"/>
      <c r="AZ20" s="8"/>
      <c r="BA20" s="8"/>
      <c r="BB20" s="8"/>
      <c r="BC20" s="8"/>
      <c r="BD20" s="8"/>
      <c r="BE20" s="8"/>
      <c r="BF20" s="8"/>
      <c r="BG20" s="8"/>
      <c r="BH20" s="8"/>
      <c r="BI20" s="8"/>
    </row>
    <row r="21" spans="1:61" s="7" customFormat="1" ht="15" x14ac:dyDescent="0.25">
      <c r="A21" s="118"/>
      <c r="B21" s="118" t="str">
        <f t="shared" si="0"/>
        <v>monthly</v>
      </c>
      <c r="C21" s="118" t="str">
        <f t="shared" si="3"/>
        <v/>
      </c>
      <c r="D21" s="118" t="s">
        <v>78</v>
      </c>
      <c r="E21" s="118" t="str">
        <f t="shared" si="1"/>
        <v/>
      </c>
      <c r="F21" s="161" t="s">
        <v>434</v>
      </c>
      <c r="G21" s="163"/>
      <c r="H21" s="163"/>
      <c r="I21" s="163" t="str">
        <f>K21</f>
        <v>Bonus</v>
      </c>
      <c r="J21" s="167"/>
      <c r="K21" s="163" t="s">
        <v>77</v>
      </c>
      <c r="L21" s="163"/>
      <c r="M21" s="168">
        <f t="shared" si="4"/>
        <v>0</v>
      </c>
      <c r="N21" s="170">
        <f t="shared" si="2"/>
        <v>0</v>
      </c>
      <c r="O21" s="236"/>
      <c r="P21" s="236"/>
      <c r="Q21" s="236"/>
      <c r="R21" s="236"/>
      <c r="S21" s="236"/>
      <c r="T21" s="325"/>
      <c r="U21" s="325"/>
      <c r="V21" s="238" t="s">
        <v>71</v>
      </c>
      <c r="W21" s="238"/>
      <c r="X21" s="42"/>
      <c r="Y21" s="76"/>
      <c r="Z21" s="76"/>
      <c r="AA21" s="50"/>
      <c r="AB21" s="156" t="str">
        <f>IF(OR(T12="Off",W209="Yes"), "", IF(SUM(N16:N23)&gt;99, "Webinar:", ""))</f>
        <v/>
      </c>
      <c r="AC21" s="226" t="str">
        <f>IF(OR(T12="Off",W209="Yes"), "", IF(SUM(N16:N23)&gt;99, "How to Budget Irregular Income", ""))</f>
        <v/>
      </c>
      <c r="AD21" s="226"/>
      <c r="AE21" s="226"/>
      <c r="AF21" s="226"/>
      <c r="AG21" s="156"/>
      <c r="AH21" s="156"/>
      <c r="AI21" s="155"/>
      <c r="AJ21" s="154"/>
      <c r="AK21" s="6"/>
      <c r="AL21" s="6"/>
      <c r="AM21" s="6"/>
      <c r="AN21" s="6"/>
      <c r="AO21" s="8"/>
      <c r="AP21" s="8"/>
      <c r="AQ21" s="6"/>
      <c r="AR21" s="8"/>
      <c r="AS21" s="8"/>
      <c r="AT21" s="8"/>
      <c r="AU21" s="8"/>
      <c r="AV21" s="8"/>
      <c r="AW21" s="8"/>
      <c r="AX21" s="8"/>
      <c r="AY21" s="8"/>
      <c r="AZ21" s="8"/>
      <c r="BA21" s="8"/>
      <c r="BB21" s="8"/>
      <c r="BC21" s="8"/>
      <c r="BD21" s="8"/>
      <c r="BE21" s="8"/>
      <c r="BF21" s="8"/>
      <c r="BG21" s="8"/>
      <c r="BH21" s="8"/>
      <c r="BI21" s="8"/>
    </row>
    <row r="22" spans="1:61" s="7" customFormat="1" ht="15" x14ac:dyDescent="0.25">
      <c r="A22" s="118"/>
      <c r="B22" s="118" t="str">
        <f t="shared" si="0"/>
        <v>monthly</v>
      </c>
      <c r="C22" s="118" t="str">
        <f t="shared" si="3"/>
        <v/>
      </c>
      <c r="D22" s="118" t="s">
        <v>78</v>
      </c>
      <c r="E22" s="118" t="str">
        <f t="shared" si="1"/>
        <v/>
      </c>
      <c r="F22" s="161" t="s">
        <v>439</v>
      </c>
      <c r="G22" s="163"/>
      <c r="H22" s="163"/>
      <c r="I22" s="163" t="s">
        <v>437</v>
      </c>
      <c r="J22" s="167"/>
      <c r="K22" s="163" t="s">
        <v>37</v>
      </c>
      <c r="L22" s="163"/>
      <c r="M22" s="168">
        <f t="shared" si="4"/>
        <v>0</v>
      </c>
      <c r="N22" s="170">
        <f t="shared" si="2"/>
        <v>0</v>
      </c>
      <c r="O22" s="268"/>
      <c r="P22" s="268"/>
      <c r="Q22" s="268"/>
      <c r="R22" s="268"/>
      <c r="S22" s="268"/>
      <c r="T22" s="328"/>
      <c r="U22" s="328"/>
      <c r="V22" s="240" t="s">
        <v>71</v>
      </c>
      <c r="W22" s="240"/>
      <c r="X22" s="137"/>
      <c r="Y22" s="76"/>
      <c r="Z22" s="76"/>
      <c r="AA22" s="155"/>
      <c r="AB22" s="155"/>
      <c r="AC22" s="155"/>
      <c r="AD22" s="155"/>
      <c r="AE22" s="155"/>
      <c r="AF22" s="155"/>
      <c r="AG22" s="155"/>
      <c r="AH22" s="155"/>
      <c r="AI22" s="155"/>
      <c r="AJ22" s="155"/>
      <c r="AK22" s="6"/>
      <c r="AL22" s="6"/>
      <c r="AM22" s="6"/>
      <c r="AN22" s="6"/>
      <c r="AO22" s="6"/>
      <c r="AP22" s="6"/>
      <c r="AQ22" s="6"/>
      <c r="AR22" s="8"/>
      <c r="AS22" s="8"/>
      <c r="AT22" s="8"/>
      <c r="AU22" s="8"/>
      <c r="AV22" s="8"/>
      <c r="AW22" s="8"/>
      <c r="AX22" s="8"/>
      <c r="AY22" s="8"/>
      <c r="AZ22" s="8"/>
      <c r="BA22" s="8"/>
      <c r="BB22" s="8"/>
      <c r="BC22" s="8"/>
      <c r="BD22" s="8"/>
      <c r="BE22" s="8"/>
      <c r="BF22" s="8"/>
      <c r="BG22" s="8"/>
      <c r="BH22" s="8"/>
      <c r="BI22" s="8"/>
    </row>
    <row r="23" spans="1:61" s="7" customFormat="1" ht="15" x14ac:dyDescent="0.25">
      <c r="A23" s="118"/>
      <c r="B23" s="118" t="str">
        <f t="shared" si="0"/>
        <v>monthly</v>
      </c>
      <c r="C23" s="118" t="str">
        <f t="shared" si="3"/>
        <v/>
      </c>
      <c r="D23" s="118" t="s">
        <v>78</v>
      </c>
      <c r="E23" s="118" t="str">
        <f t="shared" si="1"/>
        <v/>
      </c>
      <c r="F23" s="161" t="s">
        <v>440</v>
      </c>
      <c r="G23" s="163"/>
      <c r="H23" s="163"/>
      <c r="I23" s="161" t="s">
        <v>439</v>
      </c>
      <c r="J23" s="118"/>
      <c r="K23" s="163"/>
      <c r="L23" s="118"/>
      <c r="M23" s="168">
        <f>COUNTIF(T23,"&gt;0")</f>
        <v>0</v>
      </c>
      <c r="N23" s="170">
        <f t="shared" si="2"/>
        <v>0</v>
      </c>
      <c r="O23" s="333" t="str">
        <f>""</f>
        <v/>
      </c>
      <c r="P23" s="333"/>
      <c r="Q23" s="333"/>
      <c r="R23" s="333"/>
      <c r="S23" s="333"/>
      <c r="T23" s="325"/>
      <c r="U23" s="325"/>
      <c r="V23" s="238" t="s">
        <v>71</v>
      </c>
      <c r="W23" s="238"/>
      <c r="X23" s="42"/>
      <c r="Y23" s="76"/>
      <c r="Z23" s="76"/>
      <c r="AA23" s="227" t="str">
        <f>IF(OR(T12="Off",W209="Yes"), "", IF(OR(SUM(Q25:Q27)&gt;0,T36&gt;0,M205&gt;0), "Income Tip 2", ""))</f>
        <v/>
      </c>
      <c r="AB23" s="227"/>
      <c r="AC23" s="227"/>
      <c r="AD23" s="227"/>
      <c r="AE23" s="227"/>
      <c r="AF23" s="227"/>
      <c r="AG23" s="227"/>
      <c r="AH23" s="227"/>
      <c r="AI23" s="155"/>
      <c r="AJ23" s="155"/>
      <c r="AK23" s="6"/>
      <c r="AL23" s="6"/>
      <c r="AM23" s="6"/>
      <c r="AN23" s="6"/>
      <c r="AO23" s="6"/>
      <c r="AP23" s="6"/>
      <c r="AQ23" s="6"/>
      <c r="AR23" s="8"/>
      <c r="AS23" s="8"/>
      <c r="AT23" s="8"/>
      <c r="AU23" s="8"/>
      <c r="AV23" s="8"/>
      <c r="AW23" s="8"/>
      <c r="AX23" s="8"/>
      <c r="AY23" s="8"/>
      <c r="AZ23" s="8"/>
      <c r="BA23" s="8"/>
      <c r="BB23" s="8"/>
      <c r="BC23" s="8"/>
      <c r="BD23" s="8"/>
      <c r="BE23" s="8"/>
      <c r="BF23" s="8"/>
      <c r="BG23" s="8"/>
      <c r="BH23" s="8"/>
      <c r="BI23" s="8"/>
    </row>
    <row r="24" spans="1:61" s="7" customFormat="1" ht="15" customHeight="1" x14ac:dyDescent="0.25">
      <c r="A24" s="118"/>
      <c r="B24" s="118"/>
      <c r="C24" s="118"/>
      <c r="D24" s="118"/>
      <c r="E24" s="118"/>
      <c r="F24" s="161" t="s">
        <v>423</v>
      </c>
      <c r="G24" s="163">
        <f>SUM(G25:G27)</f>
        <v>3</v>
      </c>
      <c r="H24" s="118" t="s">
        <v>420</v>
      </c>
      <c r="I24" s="161" t="s">
        <v>440</v>
      </c>
      <c r="J24" s="118" t="s">
        <v>411</v>
      </c>
      <c r="K24" s="163" t="s">
        <v>410</v>
      </c>
      <c r="L24" s="118" t="str">
        <f>IF(V25="weekly", " per week", IF(V25="bi-weekly", " every two weeks", IF(OR(V25="bi-weekly actual",V25="semi-monthly"), " twice each month", IF(V25="monthly", " each month", IF(V25="quarterly", " every quarter", IF(V25="annually", " each year", ""))))))</f>
        <v xml:space="preserve"> each month</v>
      </c>
      <c r="M24" s="168"/>
      <c r="N24" s="168"/>
      <c r="O24" s="128" t="s">
        <v>408</v>
      </c>
      <c r="P24" s="127" t="s">
        <v>97</v>
      </c>
      <c r="Q24" s="130" t="s">
        <v>80</v>
      </c>
      <c r="R24" s="277" t="s">
        <v>347</v>
      </c>
      <c r="S24" s="277"/>
      <c r="T24" s="331"/>
      <c r="U24" s="331"/>
      <c r="V24" s="131" t="s">
        <v>348</v>
      </c>
      <c r="W24" s="131"/>
      <c r="X24" s="132"/>
      <c r="Y24" s="76"/>
      <c r="Z24" s="76"/>
      <c r="AA24" s="252" t="str">
        <f>IF(OR(T12="Off",W209="Yes"), "", IF(OR(SUM(Q25:Q27)&gt;0,T36&gt;0,M205&gt;0), "Check to see if your program offers a work placement or Co-Op program. Earn money while you earn credits!", ""))</f>
        <v/>
      </c>
      <c r="AB24" s="252"/>
      <c r="AC24" s="252"/>
      <c r="AD24" s="252"/>
      <c r="AE24" s="252"/>
      <c r="AF24" s="252"/>
      <c r="AG24" s="252"/>
      <c r="AH24" s="252"/>
      <c r="AI24" s="155"/>
      <c r="AJ24" s="155"/>
      <c r="AK24" s="6"/>
      <c r="AL24" s="6"/>
      <c r="AM24" s="6"/>
      <c r="AN24" s="6"/>
      <c r="AO24" s="6"/>
      <c r="AP24" s="6"/>
      <c r="AQ24" s="6"/>
      <c r="AR24" s="8"/>
      <c r="AS24" s="8"/>
      <c r="AT24" s="8"/>
      <c r="AU24" s="8"/>
      <c r="AV24" s="8"/>
      <c r="AW24" s="8"/>
      <c r="AX24" s="8"/>
      <c r="AY24" s="8"/>
      <c r="AZ24" s="8"/>
      <c r="BA24" s="8"/>
      <c r="BB24" s="8"/>
      <c r="BC24" s="8"/>
      <c r="BD24" s="8"/>
      <c r="BE24" s="8"/>
      <c r="BF24" s="8"/>
      <c r="BG24" s="8"/>
      <c r="BH24" s="8"/>
      <c r="BI24" s="8"/>
    </row>
    <row r="25" spans="1:61" s="7" customFormat="1" ht="15" x14ac:dyDescent="0.25">
      <c r="A25" s="118"/>
      <c r="B25" s="118"/>
      <c r="C25" s="118"/>
      <c r="D25" s="118"/>
      <c r="E25" s="118"/>
      <c r="F25" s="161"/>
      <c r="G25" s="163">
        <f>IF(OR(H25=$H$28,H25=$H$29),0,1)</f>
        <v>1</v>
      </c>
      <c r="H25" s="171" t="str">
        <f>IF(OR(T25=0,T25="",T25="Expenses leave 0"), "", ROUNDDOWN(J25/T25,1))</f>
        <v/>
      </c>
      <c r="I25" s="161" t="s">
        <v>37</v>
      </c>
      <c r="J25" s="172">
        <f>IF(T36&gt;0,Q25-K25,IF(OR(Q25="",Q25=0),0,Q25))</f>
        <v>0</v>
      </c>
      <c r="K25" s="173">
        <f>IF(T36&gt;0, IF(T36&gt;=Q25,Q25,T36), 0)</f>
        <v>0</v>
      </c>
      <c r="L25" s="172">
        <f>IF((Q25-K25)&lt;=0, 0, IF(AND((Q25-K25)&gt;0,R25&gt;0), IF(V25="weekly", ((Q25-K25)/(R25*4.333333333)), IF(V25="bi-weekly", ((Q25-K25)/(R25*4.333333333))*2, IF(V25="bi-weekly actual", ((Q25-K25)/(R25*2)), IF(V25="semi-monthly", ((Q25-K25)/(R25*2)), IF(V25="monthly",(Q25-K25)/R25, IF(AND(V25="quarterly",R25&lt;=3),(Q25-K25), IF(V25="quarterly", (Q25-K25)/(R25/3), IF(V25="annually", (Q25-K25), 0)))))))), 0))</f>
        <v>0</v>
      </c>
      <c r="M25" s="168">
        <f>COUNTIF(T25,"&gt;0")</f>
        <v>0</v>
      </c>
      <c r="N25" s="168">
        <f>IF(T25="Expenses leave 0", 0, IF((Q25-K25)&lt;=0, 0, IF(T25="",0,IF(T25&gt;0,IF(AND(V25="weekly",R25&gt;12),(T25*52)/12,IF(V25="weekly",(T25*(R25*4.333333333))/R25,IF(AND(V25="bi-weekly",R25&lt;=12), (T25*F38)/R25, IF(V25="bi-weekly", (T25*26)/12, IF(OR(AND(V25="bi-weekly actual",R25&lt;=12),AND(V25="semi-monthly",R25&lt;=12)),(T25*(R25*2))/8,IF(OR(AND(V25="bi-weekly actual",R25&gt;12),AND(V25="semi-monthly",R25&gt;12)),T25*2,IF(V25="bi-weekly actual",(T25*(R25*2))/12,IF(V25="semi-monthly",(T25*(R25*2))/12,IF(V25="monthly",T25,IF(V25="quarterly",T25/3,IF(AND(V25="annually",R25&lt;=12),(Q25-K25)/12,IF(V25="annually",(Q25-K25)/R25,0)))))))))))),0))))</f>
        <v>0</v>
      </c>
      <c r="O25" s="332" t="s">
        <v>405</v>
      </c>
      <c r="P25" s="332"/>
      <c r="Q25" s="146">
        <v>0</v>
      </c>
      <c r="R25" s="142">
        <f>IF(S25="needed now", 0, IF(AND(O25="student loan",J25&gt;0), 4, 0))</f>
        <v>0</v>
      </c>
      <c r="S25" s="129" t="s">
        <v>346</v>
      </c>
      <c r="T25" s="267" t="str">
        <f>IF(L25&gt;0, L25, IF(Q25&gt;0, IF(AND(J25&lt;2, T36&gt;0), "Expenses leave 0", 0), ""))</f>
        <v/>
      </c>
      <c r="U25" s="267"/>
      <c r="V25" s="254" t="s">
        <v>71</v>
      </c>
      <c r="W25" s="254"/>
      <c r="X25" s="42" t="str">
        <f>IF(AND(Q25&gt;0,R25&gt;0,M205&lt;3), CONCATENATE("After up-front expenses are"), IF(AND(P24="Yes",T25=""), " &lt;&lt; Enter info in green areas", ""))</f>
        <v xml:space="preserve"> &lt;&lt; Enter info in green areas</v>
      </c>
      <c r="Y25" s="76"/>
      <c r="Z25" s="76"/>
      <c r="AA25" s="252"/>
      <c r="AB25" s="252"/>
      <c r="AC25" s="252"/>
      <c r="AD25" s="252"/>
      <c r="AE25" s="252"/>
      <c r="AF25" s="252"/>
      <c r="AG25" s="252"/>
      <c r="AH25" s="252"/>
      <c r="AI25" s="155"/>
      <c r="AJ25" s="155"/>
      <c r="AK25" s="6"/>
      <c r="AL25" s="6"/>
      <c r="AM25" s="6"/>
      <c r="AN25" s="6"/>
      <c r="AO25" s="6"/>
      <c r="AP25" s="6"/>
      <c r="AQ25" s="6"/>
      <c r="AR25" s="8"/>
      <c r="AS25" s="8"/>
      <c r="AT25" s="8"/>
      <c r="AU25" s="8"/>
      <c r="AV25" s="8"/>
      <c r="AW25" s="8"/>
      <c r="AX25" s="8"/>
      <c r="AY25" s="8"/>
      <c r="AZ25" s="8"/>
      <c r="BA25" s="8"/>
      <c r="BB25" s="8"/>
      <c r="BC25" s="8"/>
      <c r="BD25" s="8"/>
      <c r="BE25" s="8"/>
      <c r="BF25" s="8"/>
      <c r="BG25" s="8"/>
      <c r="BH25" s="8"/>
      <c r="BI25" s="8"/>
    </row>
    <row r="26" spans="1:61" s="7" customFormat="1" ht="15" x14ac:dyDescent="0.25">
      <c r="A26" s="118"/>
      <c r="B26" s="118"/>
      <c r="C26" s="118"/>
      <c r="D26" s="118"/>
      <c r="E26" s="118"/>
      <c r="F26" s="168"/>
      <c r="G26" s="163">
        <f>IF(OR(H26=$H$28,H26=$H$29),0,1)</f>
        <v>1</v>
      </c>
      <c r="H26" s="171" t="str">
        <f>IF(OR(T26=0,T26="",T26="Expenses leave 0"), "", ROUNDDOWN(J26/T26,1))</f>
        <v/>
      </c>
      <c r="I26" s="118"/>
      <c r="J26" s="172">
        <f>IF(T36&lt;=(Q25+Q26), IF(T36&gt;Q25,Q26-(T36-Q25), IF(AND((T36-(Q25+Q26))&lt;=Q26, (T36-(Q25+Q26))&gt;=0), (Q25+Q26)-T36, Q26)), 0)</f>
        <v>0</v>
      </c>
      <c r="K26" s="173">
        <f>IF(T36&lt;=(Q25+Q26), IF(T36&gt;=Q25,T36-Q25, IF(AND((T36-(Q25+Q26))&lt;=Q26, (T36-(Q25+Q26))&gt;=0), (Q25+Q26)-T36, 0)), Q26)</f>
        <v>0</v>
      </c>
      <c r="L26" s="172">
        <f>IF((Q26-K26)&lt;=0, 0, IF(AND((Q26-K26)&gt;0,R26&gt;0), IF(V26="weekly", ((Q26-K26)/(R26*4.333333333)), IF(V26="bi-weekly", ((Q26-K26)/(R26*4.333333333))*2, IF(V26="bi-weekly actual", ((Q26-K26)/(R26*2)), IF(V26="semi-monthly", ((Q26-K26)/(R26*2)), IF(V26="monthly",(Q26-K26)/R26, IF(AND(V26="quarterly",R26&lt;=3),(Q26-K26), IF(V26="quarterly", (Q26-K26)/(R26/3), IF(V26="annually", (Q26-K26), 0)))))))), 0))</f>
        <v>0</v>
      </c>
      <c r="M26" s="168">
        <f t="shared" si="4"/>
        <v>0</v>
      </c>
      <c r="N26" s="168">
        <f>IF(T26="Expenses leave 0", 0, IF((Q26-K26)&lt;=0, 0, IF(T26="",0,IF(T26&gt;0,IF(AND(V26="weekly",R26&gt;12),(T26*52)/12,IF(V26="weekly",(T26*(R26*4.333333333))/R26,IF(AND(V26="bi-weekly",R26&lt;=12), (T26*F41)/R26, IF(V26="bi-weekly", (T26*26)/12, IF(OR(AND(V26="bi-weekly actual",R26&lt;=12),AND(V26="semi-monthly",R26&lt;=12)),(T26*(R26*2))/8,IF(OR(AND(V26="bi-weekly actual",R26&gt;12),AND(V26="semi-monthly",R26&gt;12)),T26*2,IF(V26="bi-weekly actual",(T26*(R26*2))/12,IF(V26="semi-monthly",(T26*(R26*2))/12,IF(V26="monthly",T26,IF(V26="quarterly",T26/3,IF(AND(V26="annually",R26&lt;=12),(Q26-K26)/12,IF(V26="annually",(Q26-K26)/R26,0)))))))))))),0))))</f>
        <v>0</v>
      </c>
      <c r="O26" s="255"/>
      <c r="P26" s="255"/>
      <c r="Q26" s="143"/>
      <c r="R26" s="144">
        <f>IF(S26="needed now", 0, IF(AND(O26="student loan",J26&gt;0), 4, IF(AND(R25&gt;0,Q26&gt;0),R25, 0)))</f>
        <v>0</v>
      </c>
      <c r="S26" s="128" t="s">
        <v>346</v>
      </c>
      <c r="T26" s="266" t="str">
        <f>IF(L26&gt;0, L26, IF(Q26&gt;0, IF(AND(J26&lt;2, T36&gt;0), "Expenses leave 0", 0), ""))</f>
        <v/>
      </c>
      <c r="U26" s="266"/>
      <c r="V26" s="255" t="s">
        <v>71</v>
      </c>
      <c r="W26" s="255"/>
      <c r="X26" s="147" t="str">
        <f>IF(AND(Q25&gt;0,R25&gt;0,M205&lt;3), CONCATENATE("deducted below, any unused"), "")</f>
        <v/>
      </c>
      <c r="Y26" s="76"/>
      <c r="Z26" s="76"/>
      <c r="AA26" s="155"/>
      <c r="AB26" s="155"/>
      <c r="AC26" s="155"/>
      <c r="AD26" s="155"/>
      <c r="AE26" s="155"/>
      <c r="AF26" s="155"/>
      <c r="AG26" s="155"/>
      <c r="AH26" s="155"/>
      <c r="AI26" s="155"/>
      <c r="AJ26" s="155"/>
      <c r="AK26" s="6"/>
      <c r="AL26" s="6"/>
      <c r="AM26" s="6"/>
      <c r="AN26" s="6"/>
      <c r="AO26" s="6"/>
      <c r="AP26" s="6"/>
      <c r="AQ26" s="6"/>
      <c r="AR26" s="8"/>
      <c r="AS26" s="8"/>
      <c r="AT26" s="8"/>
      <c r="AU26" s="8"/>
      <c r="AV26" s="8"/>
      <c r="AW26" s="8"/>
      <c r="AX26" s="8"/>
      <c r="AY26" s="8"/>
      <c r="AZ26" s="8"/>
      <c r="BA26" s="8"/>
      <c r="BB26" s="8"/>
      <c r="BC26" s="8"/>
      <c r="BD26" s="8"/>
      <c r="BE26" s="8"/>
      <c r="BF26" s="8"/>
      <c r="BG26" s="8"/>
      <c r="BH26" s="8"/>
      <c r="BI26" s="8"/>
    </row>
    <row r="27" spans="1:61" s="7" customFormat="1" ht="15" x14ac:dyDescent="0.25">
      <c r="A27" s="118"/>
      <c r="B27" s="118"/>
      <c r="C27" s="118"/>
      <c r="D27" s="118"/>
      <c r="E27" s="118"/>
      <c r="F27" s="168"/>
      <c r="G27" s="163">
        <f>IF(OR(H27=$H$28,H27=$H$29),0,1)</f>
        <v>1</v>
      </c>
      <c r="H27" s="174" t="str">
        <f>IF(OR(T27=0,T27="",T27="Expenses leave 0"), "", ROUNDDOWN(J27/T27,1))</f>
        <v/>
      </c>
      <c r="I27" s="118"/>
      <c r="J27" s="175">
        <f>IF((Q25+Q26+Q27)&gt;T36, IF(OR(J26&gt;0,AND((Q25+Q26)&gt;=T36,K26=Q26)), Q27, (T36-(K25+K26))), (Q25+Q26+Q27)-T36)</f>
        <v>0</v>
      </c>
      <c r="K27" s="176">
        <f>IF(OR(Q27=0,Q27=""), 0, IF(J27=Q27, 0, IF(J27&lt;0, Q27, Q27-J27)))</f>
        <v>0</v>
      </c>
      <c r="L27" s="172">
        <f>IF((Q27-K27)&lt;=0, 0, IF(AND((Q27-K27)&gt;0,R27&gt;0), IF(V27="weekly", ((Q27-K27)/(R27*4.333333333)), IF(V27="bi-weekly", ((Q27-K27)/(R27*4.333333333))*2, IF(V27="bi-weekly actual", ((Q27-K27)/(R27*2)), IF(V27="semi-monthly", ((Q27-K27)/(R27*2)), IF(V27="monthly",(Q27-K27)/R27, IF(AND(V27="quarterly",R27&lt;=3),(Q27-K27), IF(V27="quarterly", (Q27-K27)/(R27/3), IF(V27="annually", (Q27-K27), 0)))))))), 0))</f>
        <v>0</v>
      </c>
      <c r="M27" s="168">
        <f t="shared" si="4"/>
        <v>0</v>
      </c>
      <c r="N27" s="168">
        <f>IF(T27="Expenses leave 0", 0, IF((Q27-K27)&lt;=0, 0, IF(T27="",0,IF(T27&gt;0,IF(AND(V27="weekly",R27&gt;12),(T27*52)/12,IF(V27="weekly",(T27*(R27*4.333333333))/R27,IF(AND(V27="bi-weekly",R27&lt;=12), (T27*F42)/R27, IF(V27="bi-weekly", (T27*26)/12, IF(OR(AND(V27="bi-weekly actual",R27&lt;=12),AND(V27="semi-monthly",R27&lt;=12)),(T27*(R27*2))/8,IF(OR(AND(V27="bi-weekly actual",R27&gt;12),AND(V27="semi-monthly",R27&gt;12)),T27*2,IF(V27="bi-weekly actual",(T27*(R27*2))/12,IF(V27="semi-monthly",(T27*(R27*2))/12,IF(V27="monthly",T27,IF(V27="quarterly",T27/3,IF(AND(V27="annually",R27&lt;=12),(Q27-K27)/12,IF(V27="annually",(Q27-K27)/R27,0)))))))))))),0))))</f>
        <v>0</v>
      </c>
      <c r="O27" s="254"/>
      <c r="P27" s="254"/>
      <c r="Q27" s="141"/>
      <c r="R27" s="142">
        <f>IF(S27="needed now", 0, IF(AND(O27="student loan",J27&gt;0), 4, IF(AND(R25&gt;0,Q27&gt;0),R25, 0)))</f>
        <v>0</v>
      </c>
      <c r="S27" s="129" t="s">
        <v>346</v>
      </c>
      <c r="T27" s="267" t="str">
        <f>IF(L27&gt;0, L27, IF(Q27&gt;0, IF(AND(J27&lt;2,T36&gt;0), "Expenses leave 0", 0), ""))</f>
        <v/>
      </c>
      <c r="U27" s="267"/>
      <c r="V27" s="254" t="s">
        <v>71</v>
      </c>
      <c r="W27" s="254"/>
      <c r="X27" s="148" t="str">
        <f>IF(AND(Q25&gt;0,R25&gt;0,M205&lt;3), CONCATENATE("lump sum is treated as income"), "")</f>
        <v/>
      </c>
      <c r="Y27" s="76"/>
      <c r="Z27" s="76"/>
      <c r="AA27" s="250" t="str">
        <f>IF(OR(T12="Off",W209="Yes"), "", IF(OR(SUM($Q$25:$Q$27)&gt;0,T36&gt;0), "Tip", ""))</f>
        <v/>
      </c>
      <c r="AB27" s="250"/>
      <c r="AC27" s="250"/>
      <c r="AD27" s="250"/>
      <c r="AE27" s="250"/>
      <c r="AF27" s="250"/>
      <c r="AG27" s="250"/>
      <c r="AH27" s="250"/>
      <c r="AI27" s="154"/>
      <c r="AJ27" s="154"/>
      <c r="AK27" s="6"/>
      <c r="AL27" s="6"/>
      <c r="AM27" s="6"/>
      <c r="AN27" s="6"/>
      <c r="AO27" s="6"/>
      <c r="AP27" s="6"/>
      <c r="AQ27" s="6"/>
      <c r="AR27" s="8"/>
      <c r="AS27" s="8"/>
      <c r="AT27" s="8"/>
      <c r="AU27" s="8"/>
      <c r="AV27" s="8"/>
      <c r="AW27" s="8"/>
      <c r="AX27" s="8"/>
      <c r="AY27" s="8"/>
      <c r="AZ27" s="8"/>
      <c r="BA27" s="8"/>
      <c r="BB27" s="8"/>
      <c r="BC27" s="8"/>
      <c r="BD27" s="8"/>
      <c r="BE27" s="8"/>
      <c r="BF27" s="8"/>
      <c r="BG27" s="8"/>
      <c r="BH27" s="8"/>
      <c r="BI27" s="8"/>
    </row>
    <row r="28" spans="1:61" s="7" customFormat="1" ht="18" customHeight="1" x14ac:dyDescent="0.25">
      <c r="A28" s="118"/>
      <c r="B28" s="118"/>
      <c r="C28" s="118"/>
      <c r="D28" s="118"/>
      <c r="E28" s="118"/>
      <c r="F28" s="168"/>
      <c r="G28" s="163" t="s">
        <v>418</v>
      </c>
      <c r="H28" s="163">
        <f>MIN(H25:H27)</f>
        <v>0</v>
      </c>
      <c r="I28" s="118"/>
      <c r="J28" s="177">
        <f>J27</f>
        <v>0</v>
      </c>
      <c r="K28" s="178">
        <f>SUM(K25:K27)</f>
        <v>0</v>
      </c>
      <c r="L28" s="172">
        <f>SUM(L25:L27)</f>
        <v>0</v>
      </c>
      <c r="M28" s="168">
        <f>SUM(M25:M27)</f>
        <v>0</v>
      </c>
      <c r="N28" s="168">
        <f>SUM(N25:N27)</f>
        <v>0</v>
      </c>
      <c r="O28" s="145" t="s">
        <v>404</v>
      </c>
      <c r="P28" s="145"/>
      <c r="Q28" s="145"/>
      <c r="R28" s="145"/>
      <c r="S28" s="145"/>
      <c r="T28" s="145"/>
      <c r="U28" s="145"/>
      <c r="V28" s="145"/>
      <c r="W28" s="145"/>
      <c r="X28" s="145"/>
      <c r="Y28" s="76"/>
      <c r="Z28" s="76"/>
      <c r="AA28" s="251" t="str">
        <f>IF(OR(T12="Off",W209="Yes"), "", IF(OR(SUM($Q$25:$Q$27)&gt;0,T36&gt;0), "Know your deadlines. Ask your financial aid office for help early and apply for free money!", ""))</f>
        <v/>
      </c>
      <c r="AB28" s="251"/>
      <c r="AC28" s="251"/>
      <c r="AD28" s="251"/>
      <c r="AE28" s="251"/>
      <c r="AF28" s="251"/>
      <c r="AG28" s="251"/>
      <c r="AH28" s="251"/>
      <c r="AI28" s="154"/>
      <c r="AJ28" s="154"/>
      <c r="AK28" s="6"/>
      <c r="AL28" s="6"/>
      <c r="AM28" s="6"/>
      <c r="AN28" s="6"/>
      <c r="AO28" s="6"/>
      <c r="AP28" s="6"/>
      <c r="AQ28" s="6"/>
      <c r="AR28" s="8"/>
      <c r="AS28" s="8"/>
      <c r="AT28" s="8"/>
      <c r="AU28" s="8"/>
      <c r="AV28" s="8"/>
      <c r="AW28" s="8"/>
      <c r="AX28" s="8"/>
      <c r="AY28" s="8"/>
      <c r="AZ28" s="8"/>
      <c r="BA28" s="8"/>
      <c r="BB28" s="8"/>
      <c r="BC28" s="8"/>
      <c r="BD28" s="8"/>
      <c r="BE28" s="8"/>
      <c r="BF28" s="8"/>
      <c r="BG28" s="8"/>
      <c r="BH28" s="8"/>
      <c r="BI28" s="8"/>
    </row>
    <row r="29" spans="1:61" s="7" customFormat="1" ht="55.5" customHeight="1" x14ac:dyDescent="0.2">
      <c r="A29" s="118"/>
      <c r="B29" s="118"/>
      <c r="C29" s="118"/>
      <c r="D29" s="118"/>
      <c r="E29" s="118"/>
      <c r="F29" s="168"/>
      <c r="G29" s="163" t="s">
        <v>419</v>
      </c>
      <c r="H29" s="163">
        <f>MAX(H25:H27)</f>
        <v>0</v>
      </c>
      <c r="I29" s="118"/>
      <c r="J29" s="118"/>
      <c r="K29" s="163"/>
      <c r="L29" s="172"/>
      <c r="M29" s="179"/>
      <c r="N29" s="180"/>
      <c r="O29" s="262" t="str">
        <f>CONCATENATE("Enter any expenses that you'll need to pay right away out of your ", IF(O25="savings", "lump sum of savings", IF(O25="student loan", "student loan", IF(O25="line of credit", "line of credit", "lump sum"))), ". After these up-front expenses have been deducted from the ", IF(O25="savings", "savings", IF(O25="student loan", "student loan", IF(O25="line of credit", "line of credit", "lump sum"))), " above, the remainder will be used as part of your monthly income.")</f>
        <v>Enter any expenses that you'll need to pay right away out of your lump sum. After these up-front expenses have been deducted from the lump sum above, the remainder will be used as part of your monthly income.</v>
      </c>
      <c r="P29" s="262"/>
      <c r="Q29" s="262"/>
      <c r="R29" s="262"/>
      <c r="S29" s="262"/>
      <c r="T29" s="243" t="s">
        <v>80</v>
      </c>
      <c r="U29" s="243"/>
      <c r="V29" s="234" t="s">
        <v>40</v>
      </c>
      <c r="W29" s="234"/>
      <c r="X29" s="234"/>
      <c r="Y29" s="76"/>
      <c r="Z29" s="76"/>
      <c r="AA29" s="228" t="str">
        <f>IF(M223&lt;1, "Once you have entered your expenses, you'll get a picture of what your budget looks like here:", CONCATENATE("Here's what the expense portion of your budget looks like", IF(J341&lt;5, " so far", ""), IF(J341&lt;3, " (it will take shape as you fill out more expense categories):", ":")))</f>
        <v>Once you have entered your expenses, you'll get a picture of what your budget looks like here:</v>
      </c>
      <c r="AB29" s="228"/>
      <c r="AC29" s="228"/>
      <c r="AD29" s="228"/>
      <c r="AE29" s="228"/>
      <c r="AF29" s="228"/>
      <c r="AG29" s="228"/>
      <c r="AH29" s="228"/>
      <c r="AI29" s="56"/>
      <c r="AJ29" s="6"/>
      <c r="AK29" s="6"/>
      <c r="AL29" s="6"/>
      <c r="AM29" s="6"/>
      <c r="AN29" s="6"/>
      <c r="AO29" s="6"/>
      <c r="AP29" s="6"/>
      <c r="AQ29" s="6"/>
      <c r="AR29" s="8"/>
      <c r="AS29" s="8"/>
      <c r="AT29" s="8"/>
      <c r="AU29" s="8"/>
      <c r="AV29" s="8"/>
      <c r="AW29" s="8"/>
      <c r="AX29" s="8"/>
      <c r="AY29" s="8"/>
      <c r="AZ29" s="8"/>
      <c r="BA29" s="8"/>
      <c r="BB29" s="8"/>
      <c r="BC29" s="8"/>
      <c r="BD29" s="8"/>
      <c r="BE29" s="8"/>
      <c r="BF29" s="8"/>
      <c r="BG29" s="8"/>
      <c r="BH29" s="8"/>
      <c r="BI29" s="8"/>
    </row>
    <row r="30" spans="1:61" s="7" customFormat="1" x14ac:dyDescent="0.2">
      <c r="A30" s="118"/>
      <c r="B30" s="118"/>
      <c r="C30" s="118"/>
      <c r="D30" s="118"/>
      <c r="E30" s="118"/>
      <c r="F30" s="168"/>
      <c r="G30" s="163" t="s">
        <v>422</v>
      </c>
      <c r="H30" s="163" t="str">
        <f>IF(AND(P24="Yes",N28&gt;0), CONCATENATE(IF(T36&gt;0, "After you pay your up-front expenses, income", "Income"), H35,H36,H37,H38), IF(AND(P24="Yes",M205=0), K39, IF(AND($T$16&gt;0,M37=0,$T$205=0,V16="bi-weekly"), CONCATENATE(N39,T16,M39), IF(AND($T$16&gt;0,M37=0,$T$205=0,V16="bi-weekly actual"), CONCATENATE(L39), ""))))</f>
        <v>If you are planning on supplementing your income by gradually withdrawing funds from a lump sum of money (could be a loan or savings), then enter the lump sum amount, the number of months you need this money to last, and the frequency with which you wish to withdraw funds from your lump sum. If have a lump sum amount but will being using it to pay for up-front expenses, then enter the lump sum(s) you have and also enter your up-front expenses above.</v>
      </c>
      <c r="I30" s="163"/>
      <c r="J30" s="118"/>
      <c r="K30" s="163"/>
      <c r="L30" s="172"/>
      <c r="M30" s="168">
        <f t="shared" si="4"/>
        <v>0</v>
      </c>
      <c r="N30" s="168"/>
      <c r="O30" s="255" t="s">
        <v>380</v>
      </c>
      <c r="P30" s="255"/>
      <c r="Q30" s="255"/>
      <c r="R30" s="255"/>
      <c r="S30" s="255"/>
      <c r="T30" s="237"/>
      <c r="U30" s="237"/>
      <c r="V30" s="242" t="str">
        <f>IF(AND(SUM(J25:J27)&gt;0,T37&gt;0,T36=0,M205=0), "  &lt;&lt; Enter any school expenses you need to", "")</f>
        <v/>
      </c>
      <c r="W30" s="242"/>
      <c r="X30" s="242"/>
      <c r="Y30" s="76"/>
      <c r="Z30" s="76"/>
      <c r="AA30" s="228"/>
      <c r="AB30" s="228"/>
      <c r="AC30" s="228"/>
      <c r="AD30" s="228"/>
      <c r="AE30" s="228"/>
      <c r="AF30" s="228"/>
      <c r="AG30" s="228"/>
      <c r="AH30" s="228"/>
      <c r="AI30" s="56"/>
      <c r="AJ30" s="6"/>
      <c r="AK30" s="6"/>
      <c r="AL30" s="6"/>
      <c r="AM30" s="6"/>
      <c r="AN30" s="6"/>
      <c r="AO30" s="6"/>
      <c r="AP30" s="6"/>
      <c r="AQ30" s="6"/>
      <c r="AR30" s="8"/>
      <c r="AS30" s="8"/>
      <c r="AT30" s="8"/>
      <c r="AU30" s="8"/>
      <c r="AV30" s="8"/>
      <c r="AW30" s="8"/>
      <c r="AX30" s="8"/>
      <c r="AY30" s="8"/>
      <c r="AZ30" s="8"/>
      <c r="BA30" s="8"/>
      <c r="BB30" s="8"/>
      <c r="BC30" s="8"/>
      <c r="BD30" s="8"/>
      <c r="BE30" s="8"/>
      <c r="BF30" s="8"/>
      <c r="BG30" s="8"/>
      <c r="BH30" s="8"/>
      <c r="BI30" s="8"/>
    </row>
    <row r="31" spans="1:61" s="7" customFormat="1" x14ac:dyDescent="0.2">
      <c r="A31" s="118"/>
      <c r="B31" s="118"/>
      <c r="C31" s="118"/>
      <c r="D31" s="118"/>
      <c r="E31" s="118"/>
      <c r="F31" s="168"/>
      <c r="G31" s="163"/>
      <c r="H31" s="163"/>
      <c r="I31" s="181" t="s">
        <v>380</v>
      </c>
      <c r="J31" s="118"/>
      <c r="K31" s="163"/>
      <c r="L31" s="172"/>
      <c r="M31" s="168">
        <f t="shared" si="4"/>
        <v>0</v>
      </c>
      <c r="N31" s="168"/>
      <c r="O31" s="235" t="s">
        <v>398</v>
      </c>
      <c r="P31" s="235"/>
      <c r="Q31" s="235"/>
      <c r="R31" s="235"/>
      <c r="S31" s="235"/>
      <c r="T31" s="265"/>
      <c r="U31" s="265"/>
      <c r="V31" s="256" t="str">
        <f>IF(AND(SUM(J25:J27)&gt;0,T37&gt;0,T36=0,M205=0), "                        pay right away", "")</f>
        <v/>
      </c>
      <c r="W31" s="256"/>
      <c r="X31" s="256"/>
      <c r="Y31" s="76"/>
      <c r="Z31" s="76"/>
      <c r="AA31" s="50"/>
      <c r="AB31" s="50"/>
      <c r="AC31" s="50"/>
      <c r="AD31" s="50"/>
      <c r="AE31" s="50"/>
      <c r="AF31" s="50"/>
      <c r="AG31" s="50"/>
      <c r="AH31" s="50"/>
      <c r="AI31" s="56"/>
      <c r="AJ31" s="6"/>
      <c r="AK31" s="6"/>
      <c r="AL31" s="6"/>
      <c r="AM31" s="6"/>
      <c r="AN31" s="6"/>
      <c r="AO31" s="6"/>
      <c r="AP31" s="6"/>
      <c r="AQ31" s="6"/>
      <c r="AR31" s="8"/>
      <c r="AS31" s="8"/>
      <c r="AT31" s="8"/>
      <c r="AU31" s="8"/>
      <c r="AV31" s="8"/>
      <c r="AW31" s="8"/>
      <c r="AX31" s="8"/>
      <c r="AY31" s="8"/>
      <c r="AZ31" s="8"/>
      <c r="BA31" s="8"/>
      <c r="BB31" s="8"/>
      <c r="BC31" s="8"/>
      <c r="BD31" s="8"/>
      <c r="BE31" s="8"/>
      <c r="BF31" s="8"/>
      <c r="BG31" s="8"/>
      <c r="BH31" s="8"/>
      <c r="BI31" s="8"/>
    </row>
    <row r="32" spans="1:61" s="7" customFormat="1" x14ac:dyDescent="0.2">
      <c r="A32" s="118" t="str">
        <f>IF(OR(Q25="",Q25=0), "", IF(OR(O25="         - Select Type -",O25="",O25=0),"lump sum",LOWER(O25)))</f>
        <v/>
      </c>
      <c r="B32" s="118" t="str">
        <f>IF(AND(NOT(A33=""),NOT(E33=""),NOT(C33="")),", ", IF(AND(NOT(A33=""),OR(NOT(E33=""),NOT(C33=""))), " and ", ""))</f>
        <v/>
      </c>
      <c r="C32" s="118" t="str">
        <f>IF(OR(Q26="",Q26=0), "", IF(OR(O26="         - Select Type -",O26="",O26=0),"lump sum",LOWER(O26)))</f>
        <v/>
      </c>
      <c r="D32" s="118" t="str">
        <f>IF(AND(NOT(A33=""),NOT(C33=""),NOT(E33="")), ", and ", IF(AND(A33="",NOT(C33=""),NOT(E33="")), "and ", ""))</f>
        <v/>
      </c>
      <c r="E32" s="118" t="str">
        <f>IF(OR(Q27="",Q27=0), "", IF(OR(O27="         - Select Type -",O27="",O27=0),"lump sum",LOWER(O27)))</f>
        <v/>
      </c>
      <c r="F32" s="168"/>
      <c r="G32" s="163"/>
      <c r="H32" s="163"/>
      <c r="I32" s="181" t="s">
        <v>398</v>
      </c>
      <c r="J32" s="118"/>
      <c r="K32" s="163"/>
      <c r="L32" s="172"/>
      <c r="M32" s="168">
        <f t="shared" si="4"/>
        <v>0</v>
      </c>
      <c r="N32" s="168"/>
      <c r="O32" s="255" t="s">
        <v>382</v>
      </c>
      <c r="P32" s="255"/>
      <c r="Q32" s="255"/>
      <c r="R32" s="255"/>
      <c r="S32" s="255"/>
      <c r="T32" s="237"/>
      <c r="U32" s="237"/>
      <c r="V32" s="242"/>
      <c r="W32" s="242"/>
      <c r="X32" s="242"/>
      <c r="Y32" s="76"/>
      <c r="Z32" s="76"/>
      <c r="AA32" s="50"/>
      <c r="AB32" s="50"/>
      <c r="AC32" s="50"/>
      <c r="AD32" s="50"/>
      <c r="AE32" s="50"/>
      <c r="AF32" s="50"/>
      <c r="AG32" s="50"/>
      <c r="AH32" s="50"/>
      <c r="AI32" s="56"/>
      <c r="AJ32" s="6"/>
      <c r="AK32" s="6"/>
      <c r="AL32" s="6"/>
      <c r="AM32" s="6"/>
      <c r="AN32" s="6"/>
      <c r="AO32" s="6"/>
      <c r="AP32" s="6"/>
      <c r="AQ32" s="6"/>
      <c r="AR32" s="8"/>
      <c r="AS32" s="8"/>
      <c r="AT32" s="8"/>
      <c r="AU32" s="8"/>
      <c r="AV32" s="8"/>
      <c r="AW32" s="8"/>
      <c r="AX32" s="8"/>
      <c r="AY32" s="8"/>
      <c r="AZ32" s="8"/>
      <c r="BA32" s="8"/>
      <c r="BB32" s="8"/>
      <c r="BC32" s="8"/>
      <c r="BD32" s="8"/>
      <c r="BE32" s="8"/>
      <c r="BF32" s="8"/>
      <c r="BG32" s="8"/>
      <c r="BH32" s="8"/>
      <c r="BI32" s="8"/>
    </row>
    <row r="33" spans="1:61" s="7" customFormat="1" x14ac:dyDescent="0.2">
      <c r="A33" s="118" t="str">
        <f>IF(OR(T25="",T25=0), "", IF(OR(O25="         - Select Type -",O25="",O25=0),"lump sum",LOWER(O25)))</f>
        <v/>
      </c>
      <c r="B33" s="118" t="str">
        <f>IF(AND(NOT(A33=""),NOT(E33=""),NOT(C33="")),", ", IF(AND(NOT(A33=""),OR(NOT(E33=""),NOT(C33=""))), " and ", ""))</f>
        <v/>
      </c>
      <c r="C33" s="182" t="str">
        <f>IF(OR(T26="",T26=0), "", IF(OR(O26="         - Select Type -",O26="",O26=0),"lump sum",LOWER(O26)))</f>
        <v/>
      </c>
      <c r="D33" s="118" t="str">
        <f>IF(AND(NOT(A33=""),NOT(C33=""),NOT(E33="")), ", and ", IF(AND(A33="",NOT(C33=""),NOT(E33="")), " and ", ""))</f>
        <v/>
      </c>
      <c r="E33" s="118" t="str">
        <f>IF(OR(T27="",T27=0), "", IF(OR(O27="         - Select Type -",O27="",O27=0),"lump sum",LOWER(O27)))</f>
        <v/>
      </c>
      <c r="F33" s="160"/>
      <c r="G33" s="163"/>
      <c r="H33" s="163"/>
      <c r="I33" s="181" t="s">
        <v>382</v>
      </c>
      <c r="J33" s="118"/>
      <c r="K33" s="163"/>
      <c r="L33" s="172"/>
      <c r="M33" s="168">
        <f t="shared" si="4"/>
        <v>0</v>
      </c>
      <c r="N33" s="168"/>
      <c r="O33" s="235" t="s">
        <v>399</v>
      </c>
      <c r="P33" s="235"/>
      <c r="Q33" s="235"/>
      <c r="R33" s="235"/>
      <c r="S33" s="235"/>
      <c r="T33" s="265"/>
      <c r="U33" s="265"/>
      <c r="V33" s="256"/>
      <c r="W33" s="256"/>
      <c r="X33" s="256"/>
      <c r="Y33" s="76"/>
      <c r="Z33" s="76"/>
      <c r="AA33" s="50"/>
      <c r="AB33" s="50"/>
      <c r="AC33" s="50"/>
      <c r="AD33" s="50"/>
      <c r="AE33" s="50"/>
      <c r="AF33" s="50"/>
      <c r="AG33" s="50"/>
      <c r="AH33" s="50"/>
      <c r="AI33" s="56"/>
      <c r="AJ33" s="6"/>
      <c r="AK33" s="6"/>
      <c r="AL33" s="6"/>
      <c r="AM33" s="6"/>
      <c r="AN33" s="6"/>
      <c r="AO33" s="6"/>
      <c r="AP33" s="6"/>
      <c r="AQ33" s="6"/>
      <c r="AR33" s="8"/>
      <c r="AS33" s="8"/>
      <c r="AT33" s="8"/>
      <c r="AU33" s="8"/>
      <c r="AV33" s="8"/>
      <c r="AW33" s="8"/>
      <c r="AX33" s="8"/>
      <c r="AY33" s="8"/>
      <c r="AZ33" s="8"/>
      <c r="BA33" s="8"/>
      <c r="BB33" s="8"/>
      <c r="BC33" s="8"/>
      <c r="BD33" s="8"/>
      <c r="BE33" s="8"/>
      <c r="BF33" s="8"/>
      <c r="BG33" s="8"/>
      <c r="BH33" s="8"/>
      <c r="BI33" s="8"/>
    </row>
    <row r="34" spans="1:61" s="7" customFormat="1" x14ac:dyDescent="0.2">
      <c r="A34" s="118"/>
      <c r="B34" s="183" t="s">
        <v>353</v>
      </c>
      <c r="C34" s="118"/>
      <c r="D34" s="118"/>
      <c r="E34" s="118"/>
      <c r="F34" s="168"/>
      <c r="G34" s="163"/>
      <c r="H34" s="163"/>
      <c r="I34" s="181" t="s">
        <v>399</v>
      </c>
      <c r="J34" s="118"/>
      <c r="K34" s="163"/>
      <c r="L34" s="172"/>
      <c r="M34" s="168">
        <f t="shared" si="4"/>
        <v>0</v>
      </c>
      <c r="N34" s="168"/>
      <c r="O34" s="255" t="s">
        <v>400</v>
      </c>
      <c r="P34" s="255"/>
      <c r="Q34" s="255"/>
      <c r="R34" s="255"/>
      <c r="S34" s="255"/>
      <c r="T34" s="237"/>
      <c r="U34" s="237"/>
      <c r="V34" s="242"/>
      <c r="W34" s="242"/>
      <c r="X34" s="242"/>
      <c r="Y34" s="76"/>
      <c r="Z34" s="76"/>
      <c r="AA34" s="50"/>
      <c r="AB34" s="50"/>
      <c r="AC34" s="50"/>
      <c r="AD34" s="50"/>
      <c r="AE34" s="50"/>
      <c r="AF34" s="50"/>
      <c r="AG34" s="50"/>
      <c r="AH34" s="50"/>
      <c r="AI34" s="56"/>
      <c r="AJ34" s="6"/>
      <c r="AK34" s="6"/>
      <c r="AL34" s="6"/>
      <c r="AM34" s="6"/>
      <c r="AN34" s="6"/>
      <c r="AO34" s="6"/>
      <c r="AP34" s="6"/>
      <c r="AQ34" s="6"/>
      <c r="AR34" s="8"/>
      <c r="AS34" s="8"/>
      <c r="AT34" s="8"/>
      <c r="AU34" s="8"/>
      <c r="AV34" s="8"/>
      <c r="AW34" s="8"/>
      <c r="AX34" s="8"/>
      <c r="AY34" s="8"/>
      <c r="AZ34" s="8"/>
      <c r="BA34" s="8"/>
      <c r="BB34" s="8"/>
      <c r="BC34" s="8"/>
      <c r="BD34" s="8"/>
      <c r="BE34" s="8"/>
      <c r="BF34" s="8"/>
      <c r="BG34" s="8"/>
      <c r="BH34" s="8"/>
      <c r="BI34" s="8"/>
    </row>
    <row r="35" spans="1:61" s="7" customFormat="1" x14ac:dyDescent="0.2">
      <c r="A35" s="118"/>
      <c r="B35" s="118"/>
      <c r="C35" s="118" t="s">
        <v>349</v>
      </c>
      <c r="D35" s="118" t="s">
        <v>350</v>
      </c>
      <c r="E35" s="118" t="s">
        <v>351</v>
      </c>
      <c r="F35" s="163" t="s">
        <v>352</v>
      </c>
      <c r="G35" s="163" t="s">
        <v>412</v>
      </c>
      <c r="H35" s="163" t="str">
        <f ca="1">IF(A39="A+B+C = A", CONCATENATE(" from your ", CONCATENATE(IF(AND(A33="lump sum", OR(C33="lump sum",E33="lump sum")), CONCATENATE("first ",A33), CONCATENATE(IF(OR(O25=O26,O25=O27), "first ", ""), A33)),B33,IF(AND(C33="lump sum",A33="lump sum"), "second lump sum", IF(AND(C33="lump sum",E33="lump sum"), "first lump sum", CONCATENATE(IF(O26=O25, "second ", IF(AND(O26=O27, NOT(O26=O25)), "first ", "")), C33))),D33, IF(AND(A33="lump sum", C33="lump sum", E33="lump sum"), "third lump sum", IF(AND(C33="lump sum",E33="lump sum"), "second lump sum", CONCATENATE(IF(AND(O27=O25,O27=O26), "third ", IF(OR(O27=O25,O27=O26), "second ", "")), E33)))), " will pay you $", ROUND(N28, 0), IF(AND(V25="annually",R25&lt;24), " this year", L24), " and should last until around ", G39, "."), "")</f>
        <v/>
      </c>
      <c r="I35" s="181" t="s">
        <v>402</v>
      </c>
      <c r="J35" s="118"/>
      <c r="K35" s="163"/>
      <c r="L35" s="172"/>
      <c r="M35" s="168">
        <f t="shared" si="4"/>
        <v>0</v>
      </c>
      <c r="N35" s="168"/>
      <c r="O35" s="235"/>
      <c r="P35" s="235"/>
      <c r="Q35" s="235"/>
      <c r="R35" s="235"/>
      <c r="S35" s="235"/>
      <c r="T35" s="265"/>
      <c r="U35" s="265"/>
      <c r="V35" s="254"/>
      <c r="W35" s="254"/>
      <c r="X35" s="254"/>
      <c r="Y35" s="76"/>
      <c r="Z35" s="76"/>
      <c r="AA35" s="50"/>
      <c r="AB35" s="50"/>
      <c r="AC35" s="50"/>
      <c r="AD35" s="50"/>
      <c r="AE35" s="50"/>
      <c r="AF35" s="50"/>
      <c r="AG35" s="50"/>
      <c r="AH35" s="50"/>
      <c r="AI35" s="56"/>
      <c r="AJ35" s="6"/>
      <c r="AK35" s="6"/>
      <c r="AL35" s="6"/>
      <c r="AM35" s="6"/>
      <c r="AN35" s="6"/>
      <c r="AO35" s="6"/>
      <c r="AP35" s="6"/>
      <c r="AQ35" s="6"/>
      <c r="AR35" s="8"/>
      <c r="AS35" s="8"/>
      <c r="AT35" s="8"/>
      <c r="AU35" s="8"/>
      <c r="AV35" s="8"/>
      <c r="AW35" s="8"/>
      <c r="AX35" s="8"/>
      <c r="AY35" s="8"/>
      <c r="AZ35" s="8"/>
      <c r="BA35" s="8"/>
      <c r="BB35" s="8"/>
      <c r="BC35" s="8"/>
      <c r="BD35" s="8"/>
      <c r="BE35" s="8"/>
      <c r="BF35" s="8"/>
      <c r="BG35" s="8"/>
      <c r="BH35" s="8"/>
      <c r="BI35" s="8"/>
    </row>
    <row r="36" spans="1:61" s="7" customFormat="1" ht="14.25" x14ac:dyDescent="0.2">
      <c r="A36" s="118"/>
      <c r="B36" s="184" t="s">
        <v>413</v>
      </c>
      <c r="C36" s="185">
        <f ca="1">TODAY()</f>
        <v>43473</v>
      </c>
      <c r="D36" s="185">
        <f ca="1">C36+E36</f>
        <v>43473</v>
      </c>
      <c r="E36" s="118">
        <f ca="1">DAYS360(C36,C36+(R25*30)+(R25*0.8333333))</f>
        <v>0</v>
      </c>
      <c r="F36" s="163">
        <f ca="1">ROUNDDOWN(E36/14,0)</f>
        <v>0</v>
      </c>
      <c r="G36" s="169" t="str">
        <f ca="1">TEXT(D36,"mmmm d, yyyy")</f>
        <v>January 8, 2019</v>
      </c>
      <c r="H36" s="163" t="b">
        <f ca="1">IF(A39="A+B+C = A", "", IF(A39="A", CONCATENATE(" from your ", IF(OR(O25=O26,O25=O27), "first ", ""), IF(OR(O25="         - Select Type -",O25="",O25=0),"lump sum",LOWER(O25)), " will pay you $", ROUND(N25, 0), IF(AND(V25="annually",R25&lt;24), " this year", $L$24), " and should last until around ", G39, "."), IF(A39="A+B = A", CONCATENATE(" from your ", IF(OR(O25=O26,O25=O27), "first ", ""), IF(OR(O25="         - Select Type -",O25="",O25=0),"lump sum",LOWER(O25)), " and ", IF(O26=O25, "second ", IF(O26=O27, "first ", "")), IF(OR(O26="         - Select Type -",O26="",O26=0),"lump sum",LOWER(O26)), " will pay you $", ROUND(N25+N26, 0), IF(AND(V25="annually",R25&lt;24), " this year", $L$24), " and should last until around ", G39, "."), IF(A39="A+C = A", CONCATENATE(" from your ", IF(OR(O25=O26,O25=O27), "first ", ""), IF(OR(O25="         - Select Type -",O25="",O25=0),"lump sum",LOWER(O25)), " and ", IF(AND(O27=O25,O27=O26), "third ", IF(OR(O27=O26,O27=O25), "second ", "")), IF(OR(O27="         - Select Type -",O27="",O27=0),"lump sum",LOWER(O27)), " will pay you $", ROUND(N25+N27, 0), IF(AND(V25="annually",R25&lt;24), " this year", $L$24), " and should last until around ", G39, ".")))))</f>
        <v>0</v>
      </c>
      <c r="I36" s="118" t="s">
        <v>401</v>
      </c>
      <c r="J36" s="118"/>
      <c r="K36" s="163"/>
      <c r="L36" s="172"/>
      <c r="M36" s="168">
        <f t="shared" si="4"/>
        <v>0</v>
      </c>
      <c r="N36" s="168"/>
      <c r="O36" s="244" t="s">
        <v>407</v>
      </c>
      <c r="P36" s="244"/>
      <c r="Q36" s="244"/>
      <c r="R36" s="244"/>
      <c r="S36" s="244"/>
      <c r="T36" s="266">
        <f>SUM(T30:U35)</f>
        <v>0</v>
      </c>
      <c r="U36" s="266"/>
      <c r="V36" s="149" t="str">
        <f>IF(J28&gt;=0, "", J28)</f>
        <v/>
      </c>
      <c r="W36" s="150" t="str">
        <f>IF(J27&lt;0, CONCATENATE("$",J27*-1," is not covered by your ", IF(AND(Q25&gt;0, OR(Q26&gt;0,Q27&gt;0)), "lump sums", IF(O25="savings","lump sum of savings",IF(O25="student loan","student loan",IF(O25="line of credit","line of credit",IF(O25="award / scholarship","award or scholarship","lump sum")))))), "")</f>
        <v/>
      </c>
      <c r="X36" s="150"/>
      <c r="Y36" s="76"/>
      <c r="Z36" s="76"/>
      <c r="AA36" s="50"/>
      <c r="AB36" s="50"/>
      <c r="AC36" s="50"/>
      <c r="AD36" s="50"/>
      <c r="AE36" s="50"/>
      <c r="AF36" s="50"/>
      <c r="AG36" s="50"/>
      <c r="AH36" s="50"/>
      <c r="AI36" s="56"/>
      <c r="AJ36" s="6"/>
      <c r="AK36" s="6"/>
      <c r="AL36" s="6"/>
      <c r="AM36" s="6"/>
      <c r="AN36" s="6"/>
      <c r="AO36" s="6"/>
      <c r="AP36" s="6"/>
      <c r="AQ36" s="6"/>
      <c r="AR36" s="8"/>
      <c r="AS36" s="8"/>
      <c r="AT36" s="8"/>
      <c r="AU36" s="8"/>
      <c r="AV36" s="8"/>
      <c r="AW36" s="8"/>
      <c r="AX36" s="8"/>
      <c r="AY36" s="8"/>
      <c r="AZ36" s="8"/>
      <c r="BA36" s="8"/>
      <c r="BB36" s="8"/>
      <c r="BC36" s="8"/>
      <c r="BD36" s="8"/>
      <c r="BE36" s="8"/>
      <c r="BF36" s="8"/>
      <c r="BG36" s="8"/>
      <c r="BH36" s="8"/>
      <c r="BI36" s="8"/>
    </row>
    <row r="37" spans="1:61" s="7" customFormat="1" x14ac:dyDescent="0.2">
      <c r="A37" s="118"/>
      <c r="B37" s="184" t="s">
        <v>414</v>
      </c>
      <c r="C37" s="185">
        <f ca="1">TODAY()</f>
        <v>43473</v>
      </c>
      <c r="D37" s="185">
        <f ca="1">C37+E37</f>
        <v>43473</v>
      </c>
      <c r="E37" s="118">
        <f ca="1">DAYS360(C37,C37+(R26*30)+(R26*0.8333333))</f>
        <v>0</v>
      </c>
      <c r="F37" s="163">
        <f ca="1">ROUNDDOWN(E37/14,0)</f>
        <v>0</v>
      </c>
      <c r="G37" s="169" t="str">
        <f t="shared" ref="G37" ca="1" si="5">TEXT(D37,"mmmm d, yyyy")</f>
        <v>January 8, 2019</v>
      </c>
      <c r="H37" s="163" t="str">
        <f ca="1">IF(A40="B", CONCATENATE(IF(NOT(H36=""), " Income", ""), " from your ", IF(O26=O25, "second ", IF(O26=O27, "first ", "")), IF(OR(O26="         - Select Type -",O26="",O26=0),"lump sum",LOWER(O26)), " will pay you $", ROUND(N26, 0), IF(AND(V26="annually",R26&lt;24), " this year", $L$24), " and should last until around ", G40, "."), IF(A40="B+C = B", CONCATENATE(IF(NOT(H36=""), " Income", ""), " from your ", IF(O26=O25, "second ", IF(O26=O27, "first ", "")), IF(OR(O26="         - Select Type -",O26="",O26=0),"lump sum",LOWER(O26)), " and ", IF(AND(O27=O25,O27=O26), "third ", IF(OR(O27=O26,O27=O25), "second ", "")), IF(OR(O27="         - Select Type -",O27="",O27=0),"lump sum",LOWER(O27)), " will pay you $", ROUND(N26+N27, 0), IF(AND(V26="annually",R26&lt;24), " this year", $L$24), " and should last until around ", G40, "."), ""))</f>
        <v/>
      </c>
      <c r="I37" s="118" t="s">
        <v>400</v>
      </c>
      <c r="J37" s="118"/>
      <c r="K37" s="118"/>
      <c r="L37" s="118"/>
      <c r="M37" s="168">
        <f>SUM(M17:M23)</f>
        <v>0</v>
      </c>
      <c r="N37" s="170">
        <f>SUM(N16:N23)+SUM(N25:N27)</f>
        <v>0</v>
      </c>
      <c r="O37" s="281" t="str">
        <f>IF(T37&gt;0, IF(OR(N28=0,N28=""), "TOTAL MONTHLY INCOME", IF(AND(H28&gt;0,H28&lt;=12), CONCATENATE("For ", H28, " months your TOTAL MONTHLY INCOME will be"), "TOTAL MONTHLY INCOME")), "TOTAL INCOME")</f>
        <v>TOTAL INCOME</v>
      </c>
      <c r="P37" s="281"/>
      <c r="Q37" s="281"/>
      <c r="R37" s="281"/>
      <c r="S37" s="281"/>
      <c r="T37" s="338">
        <f>N37</f>
        <v>0</v>
      </c>
      <c r="U37" s="338"/>
      <c r="V37" s="259" t="str">
        <f>IF(OR(N28=0,N28=""), "", IF(AND(H28&gt;0,H28&lt;=12),CONCATENATE(IF(AND(H28&gt;0,H28&lt;=12,H28=H29), " Then it will fall to $", IF(AND(H28&gt;0,H28&lt;=12,H29&gt;H28), CONCATENATE("Then it will decline. ", "After ", H29, " months it will fall to $"), "")),ROUND(SUM(N16:N23),0)," per month."), ""))</f>
        <v/>
      </c>
      <c r="W37" s="259"/>
      <c r="X37" s="259"/>
      <c r="Y37" s="76"/>
      <c r="Z37" s="76"/>
      <c r="AA37" s="50"/>
      <c r="AB37" s="50"/>
      <c r="AC37" s="50"/>
      <c r="AD37" s="50"/>
      <c r="AE37" s="50"/>
      <c r="AF37" s="50"/>
      <c r="AG37" s="50"/>
      <c r="AH37" s="50"/>
      <c r="AI37" s="56"/>
      <c r="AJ37" s="6"/>
      <c r="AK37" s="6"/>
      <c r="AL37" s="6"/>
      <c r="AM37" s="6"/>
      <c r="AN37" s="6"/>
      <c r="AO37" s="6"/>
      <c r="AP37" s="6"/>
      <c r="AQ37" s="6"/>
      <c r="AR37" s="8"/>
      <c r="AS37" s="8"/>
      <c r="AT37" s="8"/>
      <c r="AU37" s="8"/>
      <c r="AV37" s="8"/>
      <c r="AW37" s="8"/>
      <c r="AX37" s="8"/>
      <c r="AY37" s="8"/>
      <c r="AZ37" s="8"/>
      <c r="BA37" s="8"/>
      <c r="BB37" s="8"/>
      <c r="BC37" s="8"/>
      <c r="BD37" s="8"/>
      <c r="BE37" s="8"/>
      <c r="BF37" s="8"/>
      <c r="BG37" s="8"/>
      <c r="BH37" s="8"/>
      <c r="BI37" s="8"/>
    </row>
    <row r="38" spans="1:61" s="7" customFormat="1" x14ac:dyDescent="0.2">
      <c r="A38" s="118"/>
      <c r="B38" s="186" t="s">
        <v>415</v>
      </c>
      <c r="C38" s="187">
        <f ca="1">TODAY()</f>
        <v>43473</v>
      </c>
      <c r="D38" s="187">
        <f ca="1">C38+E38</f>
        <v>43473</v>
      </c>
      <c r="E38" s="188">
        <f ca="1">DAYS360(C38,C38+(R27*30)+(R27*0.8333333))</f>
        <v>0</v>
      </c>
      <c r="F38" s="169">
        <f ca="1">ROUNDDOWN(E38/14,0)</f>
        <v>0</v>
      </c>
      <c r="G38" s="169" t="str">
        <f ca="1">TEXT(D38,"mmmm d, yyyy")</f>
        <v>January 8, 2019</v>
      </c>
      <c r="H38" s="163" t="str">
        <f ca="1">IF(A41="C", CONCATENATE(IF(OR(NOT(H36=""),NOT(H37="")), " Income", ""), " from your ", IF(AND(O27=O25,O27=O26), "third ", IF(OR(O27=O26,O27=O25), "second ", "")), IF(OR(O27="         - Select Type -",O27="",O27=0),"lump sum",LOWER(O27)), " will pay you $", ROUND(N27, 0), IF(AND(V27="annually",R27&lt;24), " this year", $L$24), " and should last until around ", G41, "."), "")</f>
        <v/>
      </c>
      <c r="I38" s="118"/>
      <c r="J38" s="167"/>
      <c r="K38" s="163"/>
      <c r="L38" s="163"/>
      <c r="M38" s="168"/>
      <c r="N38" s="168"/>
      <c r="O38" s="280" t="str">
        <f>IF(T37&gt;0, "TOTAL ANNUAL TAKE HOME INCOME", "")</f>
        <v/>
      </c>
      <c r="P38" s="280"/>
      <c r="Q38" s="280"/>
      <c r="R38" s="280"/>
      <c r="S38" s="280"/>
      <c r="T38" s="342" t="str">
        <f>IF(T37&gt;0, IF(AND(R25&gt;0,R25&lt;=12), IF(V25="annually", L25+SUM(N16:N23), (R25*N25)+(SUM(N16:N23)*12)), T37*12), "")</f>
        <v/>
      </c>
      <c r="U38" s="342"/>
      <c r="V38" s="259"/>
      <c r="W38" s="259"/>
      <c r="X38" s="259"/>
      <c r="Y38" s="76"/>
      <c r="Z38" s="76"/>
      <c r="AA38" s="50"/>
      <c r="AB38" s="50"/>
      <c r="AC38" s="50"/>
      <c r="AD38" s="50"/>
      <c r="AE38" s="50"/>
      <c r="AF38" s="50"/>
      <c r="AG38" s="50"/>
      <c r="AH38" s="50"/>
      <c r="AI38" s="56"/>
      <c r="AJ38" s="6"/>
      <c r="AK38" s="6"/>
      <c r="AL38" s="6"/>
      <c r="AM38" s="6"/>
      <c r="AN38" s="6"/>
      <c r="AO38" s="6"/>
      <c r="AP38" s="6"/>
      <c r="AQ38" s="6"/>
      <c r="AR38" s="8"/>
      <c r="AS38" s="8"/>
      <c r="AT38" s="8"/>
      <c r="AU38" s="8"/>
      <c r="AV38" s="8"/>
      <c r="AW38" s="8"/>
      <c r="AX38" s="8"/>
      <c r="AY38" s="8"/>
      <c r="AZ38" s="8"/>
      <c r="BA38" s="8"/>
      <c r="BB38" s="8"/>
      <c r="BC38" s="8"/>
      <c r="BD38" s="8"/>
      <c r="BE38" s="8"/>
      <c r="BF38" s="8"/>
      <c r="BG38" s="8"/>
      <c r="BH38" s="8"/>
      <c r="BI38" s="8"/>
    </row>
    <row r="39" spans="1:61" s="7" customFormat="1" ht="57" customHeight="1" x14ac:dyDescent="0.2">
      <c r="A39" s="188" t="str">
        <f ca="1">IF(AND(E36&gt;0, NOT(D36=D37), NOT(D36=D38)), "A", IF(AND(E36&gt;0,E37&gt;0,E38&gt;0,D36=D37,D36=D38), "A+B+C = A", IF(AND(E36&gt;0,E37&gt;0,D36=D37), "A+B = A", IF(AND(E36&gt;0,E38&gt;0,D36=D38), "A+C = A", ""))))</f>
        <v/>
      </c>
      <c r="B39" s="186" t="str">
        <f ca="1">RIGHT(A39,1)</f>
        <v/>
      </c>
      <c r="C39" s="187" t="str">
        <f ca="1">IF($B$39="A", C36, "")</f>
        <v/>
      </c>
      <c r="D39" s="187" t="str">
        <f ca="1">IF($B$39="A", D36, "")</f>
        <v/>
      </c>
      <c r="E39" s="189" t="str">
        <f ca="1">IF($B$39="A", E36, "")</f>
        <v/>
      </c>
      <c r="F39" s="189" t="str">
        <f ca="1">IF($B$39="A", F36, "")</f>
        <v/>
      </c>
      <c r="G39" s="169" t="str">
        <f ca="1">TEXT(D39,"mmmm d, yyyy")</f>
        <v/>
      </c>
      <c r="H39" s="186">
        <f ca="1">IF(E39="", 0, IF(E39&gt;0, 1, 0))</f>
        <v>0</v>
      </c>
      <c r="I39" s="118"/>
      <c r="J39" s="163"/>
      <c r="K39" s="163" t="s">
        <v>421</v>
      </c>
      <c r="L39" s="163" t="s">
        <v>389</v>
      </c>
      <c r="M39" s="163" t="s">
        <v>315</v>
      </c>
      <c r="N39" s="168" t="s">
        <v>92</v>
      </c>
      <c r="O39" s="335" t="str">
        <f>IF(AND(P24="Yes",N28&gt;0), CONCATENATE(IF(T36&gt;0, "After you pay your up-front expenses, income", IF(AND(T36=0,M205&lt;3), "If you don't have any up-front expenses, income", "Income")), H35,H36,H37,H38, IF(AND(T36=0,M205&lt;3), " If you do have one-time expenses to pay at the beginning of the term, please enter them above.", "")), IF(AND(P24="Yes",M205=0), K39, ""))</f>
        <v>If you are planning on supplementing your income by gradually withdrawing funds from a lump sum of money (could be a loan or savings), then enter the lump sum amount, the number of months you need this money to last, and the frequency with which you wish to withdraw funds from your lump sum. If have a lump sum amount but will being using it to pay for up-front expenses, then enter the lump sum(s) you have and also enter your up-front expenses above.</v>
      </c>
      <c r="P39" s="335"/>
      <c r="Q39" s="335"/>
      <c r="R39" s="335"/>
      <c r="S39" s="335"/>
      <c r="T39" s="335"/>
      <c r="U39" s="335"/>
      <c r="V39" s="335"/>
      <c r="W39" s="335"/>
      <c r="X39" s="335"/>
      <c r="Y39" s="76"/>
      <c r="Z39" s="76"/>
      <c r="AA39" s="50"/>
      <c r="AB39" s="50"/>
      <c r="AC39" s="50"/>
      <c r="AD39" s="50"/>
      <c r="AE39" s="50"/>
      <c r="AF39" s="50"/>
      <c r="AG39" s="50"/>
      <c r="AH39" s="50"/>
      <c r="AI39" s="56"/>
      <c r="AJ39" s="6"/>
      <c r="AK39" s="6"/>
      <c r="AL39" s="6"/>
      <c r="AM39" s="6"/>
      <c r="AN39" s="6"/>
      <c r="AO39" s="6"/>
      <c r="AP39" s="6"/>
      <c r="AQ39" s="6"/>
      <c r="AR39" s="8"/>
      <c r="AS39" s="8"/>
      <c r="AT39" s="8"/>
      <c r="AU39" s="8"/>
      <c r="AV39" s="8"/>
      <c r="AW39" s="8"/>
      <c r="AX39" s="8"/>
      <c r="AY39" s="8"/>
      <c r="AZ39" s="8"/>
      <c r="BA39" s="8"/>
      <c r="BB39" s="8"/>
      <c r="BC39" s="8"/>
      <c r="BD39" s="8"/>
      <c r="BE39" s="8"/>
      <c r="BF39" s="8"/>
      <c r="BG39" s="8"/>
      <c r="BH39" s="8"/>
      <c r="BI39" s="8"/>
    </row>
    <row r="40" spans="1:61" s="11" customFormat="1" ht="17.25" customHeight="1" x14ac:dyDescent="0.2">
      <c r="A40" s="190" t="str">
        <f ca="1">IF(AND(E37&gt;0, NOT(D37=D36), NOT(D37=D38)), "B", IF(AND(E37&gt;0,E38&gt;0,D37=D38,NOT(D37=D36)),"B+C = B",""))</f>
        <v/>
      </c>
      <c r="B40" s="186" t="str">
        <f t="shared" ref="B40:B41" ca="1" si="6">RIGHT(A40,1)</f>
        <v/>
      </c>
      <c r="C40" s="187" t="str">
        <f ca="1">IF($B$40="B", C37, "")</f>
        <v/>
      </c>
      <c r="D40" s="187" t="str">
        <f ca="1">IF($B$40="B", D37, "")</f>
        <v/>
      </c>
      <c r="E40" s="189" t="str">
        <f ca="1">IF($B$40="B", E37, "")</f>
        <v/>
      </c>
      <c r="F40" s="189" t="str">
        <f ca="1">IF($B$40="B", F37, "")</f>
        <v/>
      </c>
      <c r="G40" s="169" t="str">
        <f t="shared" ref="G40:G41" ca="1" si="7">TEXT(D40,"mmmm d, yyyy")</f>
        <v/>
      </c>
      <c r="H40" s="184">
        <f t="shared" ref="H40" ca="1" si="8">IF(E40="", 0, IF(E40&gt;0, 1, 0))</f>
        <v>0</v>
      </c>
      <c r="I40" s="163"/>
      <c r="J40" s="169"/>
      <c r="K40" s="169"/>
      <c r="L40" s="169" t="s">
        <v>81</v>
      </c>
      <c r="M40" s="164" t="str">
        <f>CONCATENATE("The expenses required to run your household shouldn’t exceed ",(V256*100),"% of your budget. Based on your income, you should try not to spend more than $")</f>
        <v>The expenses required to run your household shouldn’t exceed 35% of your budget. Based on your income, you should try not to spend more than $</v>
      </c>
      <c r="N40" s="180">
        <f>ROUND(V256*T37,0)</f>
        <v>0</v>
      </c>
      <c r="O40" s="253" t="s">
        <v>19</v>
      </c>
      <c r="P40" s="253"/>
      <c r="Q40" s="253"/>
      <c r="R40" s="253"/>
      <c r="S40" s="253"/>
      <c r="T40" s="253"/>
      <c r="U40" s="253"/>
      <c r="V40" s="253"/>
      <c r="W40" s="253"/>
      <c r="X40" s="253"/>
      <c r="Y40" s="84"/>
      <c r="Z40" s="84"/>
      <c r="AA40" s="55"/>
      <c r="AB40" s="55"/>
      <c r="AC40" s="55"/>
      <c r="AD40" s="55"/>
      <c r="AE40" s="55"/>
      <c r="AF40" s="55"/>
      <c r="AG40" s="55"/>
      <c r="AH40" s="55"/>
      <c r="AI40" s="59"/>
      <c r="AJ40" s="10"/>
      <c r="AK40" s="10"/>
      <c r="AL40" s="10"/>
      <c r="AM40" s="10"/>
      <c r="AN40" s="10"/>
      <c r="AO40" s="10"/>
      <c r="AP40" s="10"/>
      <c r="AQ40" s="10"/>
      <c r="AR40" s="12"/>
      <c r="AS40" s="12"/>
      <c r="AT40" s="12"/>
      <c r="AU40" s="12"/>
      <c r="AV40" s="12"/>
      <c r="AW40" s="12"/>
      <c r="AX40" s="12"/>
      <c r="AY40" s="12"/>
      <c r="AZ40" s="12"/>
      <c r="BA40" s="12"/>
      <c r="BB40" s="12"/>
      <c r="BC40" s="12"/>
      <c r="BD40" s="12"/>
      <c r="BE40" s="12"/>
      <c r="BF40" s="12"/>
      <c r="BG40" s="12"/>
      <c r="BH40" s="12"/>
      <c r="BI40" s="12"/>
    </row>
    <row r="41" spans="1:61" s="11" customFormat="1" ht="48" customHeight="1" x14ac:dyDescent="0.2">
      <c r="A41" s="188" t="str">
        <f ca="1">IF(AND(E38&gt;0,NOT(D38=D37),NOT(D38=D36)), "C", "")</f>
        <v/>
      </c>
      <c r="B41" s="186" t="str">
        <f t="shared" ca="1" si="6"/>
        <v/>
      </c>
      <c r="C41" s="187" t="str">
        <f ca="1">IF($B$41="C", C38, "")</f>
        <v/>
      </c>
      <c r="D41" s="187" t="str">
        <f t="shared" ref="D41:F41" ca="1" si="9">IF($B$41="C", D38, "")</f>
        <v/>
      </c>
      <c r="E41" s="189" t="str">
        <f ca="1">IF($B$41="C", E38, "")</f>
        <v/>
      </c>
      <c r="F41" s="189" t="str">
        <f t="shared" ca="1" si="9"/>
        <v/>
      </c>
      <c r="G41" s="169" t="str">
        <f t="shared" ca="1" si="7"/>
        <v/>
      </c>
      <c r="H41" s="191">
        <f ca="1">IF(E41="", 0, IF(E41&gt;0, 1, 0))</f>
        <v>0</v>
      </c>
      <c r="I41" s="163" t="s">
        <v>11</v>
      </c>
      <c r="J41" s="169">
        <v>0</v>
      </c>
      <c r="K41" s="169" t="e">
        <f>ROUND((T57/T37)*100,1)</f>
        <v>#DIV/0!</v>
      </c>
      <c r="L41" s="169"/>
      <c r="M41" s="192"/>
      <c r="N41" s="192"/>
      <c r="O41" s="260" t="str">
        <f>IF(T12="On", IF(T37=0, CONCATENATE("The expenses required to run your household shouldn’t exceed ",(V256*100),"% of your budget."), IF(T37&gt;0, CONCATENATE(M40,N40,L40), CONCATENATE("The expenses required to run your household shouldn’t exceed ",(V256*100),"% of your budget."))), "")</f>
        <v>The expenses required to run your household shouldn’t exceed 35% of your budget.</v>
      </c>
      <c r="P41" s="260"/>
      <c r="Q41" s="260"/>
      <c r="R41" s="260"/>
      <c r="S41" s="260"/>
      <c r="T41" s="243" t="s">
        <v>80</v>
      </c>
      <c r="U41" s="243"/>
      <c r="V41" s="234" t="s">
        <v>79</v>
      </c>
      <c r="W41" s="234"/>
      <c r="X41" s="133" t="s">
        <v>40</v>
      </c>
      <c r="Y41" s="84"/>
      <c r="Z41" s="84"/>
      <c r="AA41" s="58"/>
      <c r="AB41" s="58"/>
      <c r="AC41" s="58"/>
      <c r="AD41" s="58"/>
      <c r="AE41" s="58"/>
      <c r="AF41" s="58"/>
      <c r="AG41" s="58"/>
      <c r="AH41" s="58"/>
      <c r="AI41" s="153"/>
      <c r="AJ41" s="10"/>
      <c r="AK41" s="10"/>
      <c r="AL41" s="10"/>
      <c r="AM41" s="10"/>
      <c r="AN41" s="10"/>
      <c r="AO41" s="10"/>
      <c r="AP41" s="10"/>
      <c r="AQ41" s="10"/>
      <c r="AR41" s="12"/>
      <c r="AS41" s="12"/>
      <c r="AT41" s="12"/>
      <c r="AU41" s="12"/>
      <c r="AV41" s="12"/>
      <c r="AW41" s="12"/>
      <c r="AX41" s="12"/>
      <c r="AY41" s="12"/>
      <c r="AZ41" s="12"/>
      <c r="BA41" s="12"/>
      <c r="BB41" s="12"/>
      <c r="BC41" s="12"/>
      <c r="BD41" s="12"/>
      <c r="BE41" s="12"/>
      <c r="BF41" s="12"/>
      <c r="BG41" s="12"/>
      <c r="BH41" s="12"/>
      <c r="BI41" s="12"/>
    </row>
    <row r="42" spans="1:61" s="7" customFormat="1" x14ac:dyDescent="0.2">
      <c r="A42" s="118"/>
      <c r="B42" s="118" t="str">
        <f t="shared" ref="B42:B44" si="10">V42</f>
        <v>monthly</v>
      </c>
      <c r="C42" s="118" t="str">
        <f t="shared" ref="C42:C56" si="11">IF(T42="", "", IF(B42="weekly", T42*52, IF(B42="bi-weekly", T42*26, IF(B42="semi-monthly", T42*24, IF(B42="monthly", T42*12, IF(B42="every 2 months", T42*6, IF(B42="every 3 months", T42*4, IF(B42="quarterly", T42*4, IF(B42="every 4 months", T42*3, IF(B42="every 6 months", T42*2, IF(B42="every 8 months", T42*1.5, IF(B42="every 10 months", T42*1.2, IF(B42="annually", T42, 0)))))))))))))</f>
        <v/>
      </c>
      <c r="D42" s="118" t="s">
        <v>78</v>
      </c>
      <c r="E42" s="118" t="str">
        <f>C42</f>
        <v/>
      </c>
      <c r="F42" s="163"/>
      <c r="G42" s="163"/>
      <c r="H42" s="168">
        <f ca="1">SUM(H39:H41)</f>
        <v>0</v>
      </c>
      <c r="I42" s="163" t="s">
        <v>83</v>
      </c>
      <c r="J42" s="163">
        <v>1</v>
      </c>
      <c r="K42" s="163"/>
      <c r="L42" s="163" t="s">
        <v>74</v>
      </c>
      <c r="M42" s="168">
        <f>COUNTIF(T42,"&gt;0")</f>
        <v>0</v>
      </c>
      <c r="N42" s="168">
        <f>IF(V42="weekly", (T42*52)/12, IF(V42="bi-weekly", (T42*26)/12, IF(V42="semi-monthly", (T42*24)/12, IF(V42="monthly", T42, IF(V42="every 2 months", (T42*6)/12, IF(V42="every 3 months", (T42*4)/12, IF(V42="every 6 months", (T42*2)/12, IF(V42="annually", T42/12, T42))))))))</f>
        <v>0</v>
      </c>
      <c r="O42" s="268" t="s">
        <v>11</v>
      </c>
      <c r="P42" s="268"/>
      <c r="Q42" s="268"/>
      <c r="R42" s="268"/>
      <c r="S42" s="268"/>
      <c r="T42" s="244"/>
      <c r="U42" s="244"/>
      <c r="V42" s="240" t="s">
        <v>71</v>
      </c>
      <c r="W42" s="240"/>
      <c r="X42" s="44"/>
      <c r="Y42" s="76"/>
      <c r="Z42" s="76"/>
      <c r="AA42" s="38"/>
      <c r="AB42" s="38"/>
      <c r="AC42" s="38"/>
      <c r="AD42" s="38"/>
      <c r="AE42" s="38"/>
      <c r="AF42" s="38"/>
      <c r="AG42" s="38"/>
      <c r="AH42" s="38"/>
      <c r="AI42" s="60"/>
      <c r="AJ42" s="6"/>
      <c r="AK42" s="6"/>
      <c r="AL42" s="6"/>
      <c r="AM42" s="6"/>
      <c r="AN42" s="6"/>
      <c r="AO42" s="6"/>
      <c r="AP42" s="6"/>
      <c r="AQ42" s="6"/>
      <c r="AR42" s="8"/>
      <c r="AS42" s="8"/>
      <c r="AT42" s="8"/>
      <c r="AU42" s="8"/>
      <c r="AV42" s="8"/>
      <c r="AW42" s="8"/>
      <c r="AX42" s="8"/>
      <c r="AY42" s="8"/>
      <c r="AZ42" s="8"/>
      <c r="BA42" s="8"/>
      <c r="BB42" s="8"/>
      <c r="BC42" s="8"/>
      <c r="BD42" s="8"/>
      <c r="BE42" s="8"/>
      <c r="BF42" s="8"/>
      <c r="BG42" s="8"/>
      <c r="BH42" s="8"/>
      <c r="BI42" s="8"/>
    </row>
    <row r="43" spans="1:61" s="7" customFormat="1" x14ac:dyDescent="0.2">
      <c r="A43" s="118"/>
      <c r="B43" s="118" t="str">
        <f t="shared" si="10"/>
        <v>monthly</v>
      </c>
      <c r="C43" s="118" t="str">
        <f t="shared" si="11"/>
        <v/>
      </c>
      <c r="D43" s="118" t="s">
        <v>78</v>
      </c>
      <c r="E43" s="118" t="str">
        <f t="shared" ref="E43:E106" si="12">C43</f>
        <v/>
      </c>
      <c r="F43" s="163"/>
      <c r="G43" s="163" t="s">
        <v>416</v>
      </c>
      <c r="H43" s="168">
        <f>COUNT(Q25:Q27)</f>
        <v>1</v>
      </c>
      <c r="I43" s="163" t="s">
        <v>84</v>
      </c>
      <c r="J43" s="163">
        <v>2</v>
      </c>
      <c r="K43" s="163"/>
      <c r="L43" s="163" t="s">
        <v>72</v>
      </c>
      <c r="M43" s="168">
        <f t="shared" ref="M43:M56" si="13">COUNTIF(T43,"&gt;0")</f>
        <v>0</v>
      </c>
      <c r="N43" s="168">
        <f t="shared" ref="N43:N49" si="14">IF(V43="weekly", (T43*52)/12, IF(V43="bi-weekly", (T43*26)/12, IF(V43="semi-monthly", (T43*24)/12, IF(V43="monthly", T43, IF(V43="every 2 months", (T43*6)/12, IF(V43="every 3 months", (T43*4)/12, IF(V43="every 6 months", (T43*2)/12, IF(V43="annually", T43/12, T43))))))))</f>
        <v>0</v>
      </c>
      <c r="O43" s="236" t="s">
        <v>441</v>
      </c>
      <c r="P43" s="236"/>
      <c r="Q43" s="236"/>
      <c r="R43" s="236"/>
      <c r="S43" s="236"/>
      <c r="T43" s="245"/>
      <c r="U43" s="245"/>
      <c r="V43" s="238" t="s">
        <v>71</v>
      </c>
      <c r="W43" s="238"/>
      <c r="X43" s="45"/>
      <c r="Y43" s="76"/>
      <c r="Z43" s="76"/>
      <c r="AA43" s="38"/>
      <c r="AB43" s="38"/>
      <c r="AC43" s="38"/>
      <c r="AD43" s="38"/>
      <c r="AE43" s="38"/>
      <c r="AF43" s="38"/>
      <c r="AG43" s="38"/>
      <c r="AH43" s="38"/>
      <c r="AI43" s="60"/>
      <c r="AJ43" s="6"/>
      <c r="AK43" s="6"/>
      <c r="AL43" s="6"/>
      <c r="AM43" s="6"/>
      <c r="AN43" s="6"/>
      <c r="AO43" s="6"/>
      <c r="AP43" s="6"/>
      <c r="AQ43" s="6"/>
      <c r="AR43" s="8"/>
      <c r="AS43" s="8"/>
      <c r="AT43" s="8"/>
      <c r="AU43" s="8"/>
      <c r="AV43" s="8"/>
      <c r="AW43" s="8"/>
      <c r="AX43" s="8"/>
      <c r="AY43" s="8"/>
      <c r="AZ43" s="8"/>
      <c r="BA43" s="8"/>
      <c r="BB43" s="8"/>
      <c r="BC43" s="8"/>
      <c r="BD43" s="8"/>
      <c r="BE43" s="8"/>
      <c r="BF43" s="8"/>
      <c r="BG43" s="8"/>
      <c r="BH43" s="8"/>
      <c r="BI43" s="8"/>
    </row>
    <row r="44" spans="1:61" s="7" customFormat="1" x14ac:dyDescent="0.2">
      <c r="A44" s="118"/>
      <c r="B44" s="118" t="str">
        <f t="shared" si="10"/>
        <v>monthly</v>
      </c>
      <c r="C44" s="118" t="str">
        <f t="shared" si="11"/>
        <v/>
      </c>
      <c r="D44" s="118" t="s">
        <v>78</v>
      </c>
      <c r="E44" s="118" t="str">
        <f t="shared" si="12"/>
        <v/>
      </c>
      <c r="F44" s="163"/>
      <c r="G44" s="163" t="s">
        <v>417</v>
      </c>
      <c r="H44" s="168">
        <f>COUNT(T25:U27)</f>
        <v>0</v>
      </c>
      <c r="I44" s="163" t="s">
        <v>225</v>
      </c>
      <c r="J44" s="163">
        <v>3</v>
      </c>
      <c r="K44" s="163"/>
      <c r="L44" s="163" t="s">
        <v>73</v>
      </c>
      <c r="M44" s="168">
        <f t="shared" si="13"/>
        <v>0</v>
      </c>
      <c r="N44" s="168">
        <f t="shared" si="14"/>
        <v>0</v>
      </c>
      <c r="O44" s="268" t="s">
        <v>386</v>
      </c>
      <c r="P44" s="268"/>
      <c r="Q44" s="268"/>
      <c r="R44" s="268"/>
      <c r="S44" s="268"/>
      <c r="T44" s="244"/>
      <c r="U44" s="244"/>
      <c r="V44" s="240" t="s">
        <v>71</v>
      </c>
      <c r="W44" s="240"/>
      <c r="X44" s="44"/>
      <c r="Y44" s="76"/>
      <c r="Z44" s="76"/>
      <c r="AA44" s="38"/>
      <c r="AB44" s="38"/>
      <c r="AC44" s="38"/>
      <c r="AD44" s="38"/>
      <c r="AE44" s="38"/>
      <c r="AF44" s="38"/>
      <c r="AG44" s="38"/>
      <c r="AH44" s="38"/>
      <c r="AI44" s="60"/>
      <c r="AJ44" s="6"/>
      <c r="AK44" s="6"/>
      <c r="AL44" s="6"/>
      <c r="AM44" s="6"/>
      <c r="AN44" s="6"/>
      <c r="AO44" s="6"/>
      <c r="AP44" s="6"/>
      <c r="AQ44" s="6"/>
      <c r="AR44" s="8"/>
      <c r="AS44" s="8"/>
      <c r="AT44" s="8"/>
      <c r="AU44" s="8"/>
      <c r="AV44" s="8"/>
      <c r="AW44" s="8"/>
      <c r="AX44" s="8"/>
      <c r="AY44" s="8"/>
      <c r="AZ44" s="8"/>
      <c r="BA44" s="8"/>
      <c r="BB44" s="8"/>
      <c r="BC44" s="8"/>
      <c r="BD44" s="8"/>
      <c r="BE44" s="8"/>
      <c r="BF44" s="8"/>
      <c r="BG44" s="8"/>
      <c r="BH44" s="8"/>
      <c r="BI44" s="8"/>
    </row>
    <row r="45" spans="1:61" s="7" customFormat="1" x14ac:dyDescent="0.2">
      <c r="A45" s="118"/>
      <c r="B45" s="118" t="str">
        <f t="shared" ref="B45:B56" si="15">V45</f>
        <v>monthly</v>
      </c>
      <c r="C45" s="118" t="str">
        <f t="shared" si="11"/>
        <v/>
      </c>
      <c r="D45" s="118" t="s">
        <v>78</v>
      </c>
      <c r="E45" s="118" t="str">
        <f t="shared" si="12"/>
        <v/>
      </c>
      <c r="F45" s="163"/>
      <c r="G45" s="163"/>
      <c r="H45" s="163"/>
      <c r="I45" s="163" t="s">
        <v>387</v>
      </c>
      <c r="J45" s="163">
        <v>4</v>
      </c>
      <c r="K45" s="163"/>
      <c r="L45" s="163" t="s">
        <v>71</v>
      </c>
      <c r="M45" s="168">
        <f t="shared" si="13"/>
        <v>0</v>
      </c>
      <c r="N45" s="168">
        <f t="shared" si="14"/>
        <v>0</v>
      </c>
      <c r="O45" s="236" t="s">
        <v>388</v>
      </c>
      <c r="P45" s="236"/>
      <c r="Q45" s="236"/>
      <c r="R45" s="236"/>
      <c r="S45" s="236"/>
      <c r="T45" s="245"/>
      <c r="U45" s="245"/>
      <c r="V45" s="238" t="s">
        <v>71</v>
      </c>
      <c r="W45" s="238"/>
      <c r="X45" s="42"/>
      <c r="Y45" s="76"/>
      <c r="Z45" s="76"/>
      <c r="AA45" s="38"/>
      <c r="AB45" s="38"/>
      <c r="AC45" s="38"/>
      <c r="AD45" s="38"/>
      <c r="AE45" s="38"/>
      <c r="AF45" s="38"/>
      <c r="AG45" s="38"/>
      <c r="AH45" s="38"/>
      <c r="AI45" s="60"/>
      <c r="AJ45" s="6"/>
      <c r="AK45" s="6"/>
      <c r="AL45" s="6"/>
      <c r="AM45" s="6"/>
      <c r="AN45" s="6"/>
      <c r="AO45" s="6"/>
      <c r="AP45" s="6"/>
      <c r="AQ45" s="6"/>
      <c r="AR45" s="8"/>
      <c r="AS45" s="8"/>
      <c r="AT45" s="8"/>
      <c r="AU45" s="8"/>
      <c r="AV45" s="8"/>
      <c r="AW45" s="8"/>
      <c r="AX45" s="8"/>
      <c r="AY45" s="8"/>
      <c r="AZ45" s="8"/>
      <c r="BA45" s="8"/>
      <c r="BB45" s="8"/>
      <c r="BC45" s="8"/>
      <c r="BD45" s="8"/>
      <c r="BE45" s="8"/>
      <c r="BF45" s="8"/>
      <c r="BG45" s="8"/>
      <c r="BH45" s="8"/>
      <c r="BI45" s="8"/>
    </row>
    <row r="46" spans="1:61" s="7" customFormat="1" x14ac:dyDescent="0.2">
      <c r="A46" s="118"/>
      <c r="B46" s="118" t="str">
        <f t="shared" si="15"/>
        <v>monthly</v>
      </c>
      <c r="C46" s="118" t="str">
        <f t="shared" si="11"/>
        <v/>
      </c>
      <c r="D46" s="118" t="s">
        <v>78</v>
      </c>
      <c r="E46" s="118" t="str">
        <f t="shared" si="12"/>
        <v/>
      </c>
      <c r="F46" s="163"/>
      <c r="G46" s="163"/>
      <c r="H46" s="163"/>
      <c r="I46" s="118" t="s">
        <v>441</v>
      </c>
      <c r="J46" s="163">
        <v>5</v>
      </c>
      <c r="K46" s="163"/>
      <c r="L46" s="163" t="s">
        <v>159</v>
      </c>
      <c r="M46" s="168">
        <f t="shared" si="13"/>
        <v>0</v>
      </c>
      <c r="N46" s="168">
        <f t="shared" si="14"/>
        <v>0</v>
      </c>
      <c r="O46" s="268"/>
      <c r="P46" s="268"/>
      <c r="Q46" s="268"/>
      <c r="R46" s="268"/>
      <c r="S46" s="268"/>
      <c r="T46" s="244"/>
      <c r="U46" s="244"/>
      <c r="V46" s="240" t="s">
        <v>71</v>
      </c>
      <c r="W46" s="240"/>
      <c r="X46" s="44"/>
      <c r="Y46" s="76"/>
      <c r="Z46" s="76"/>
      <c r="AA46" s="38"/>
      <c r="AB46" s="38"/>
      <c r="AC46" s="38"/>
      <c r="AD46" s="38"/>
      <c r="AE46" s="38"/>
      <c r="AF46" s="38"/>
      <c r="AG46" s="38"/>
      <c r="AH46" s="38"/>
      <c r="AI46" s="60"/>
      <c r="AJ46" s="6"/>
      <c r="AK46" s="6"/>
      <c r="AL46" s="6"/>
      <c r="AM46" s="6"/>
      <c r="AN46" s="6"/>
      <c r="AO46" s="6"/>
      <c r="AP46" s="6"/>
      <c r="AQ46" s="6"/>
      <c r="AR46" s="8"/>
      <c r="AS46" s="8"/>
      <c r="AT46" s="8"/>
      <c r="AU46" s="8"/>
      <c r="AV46" s="8"/>
      <c r="AW46" s="8"/>
      <c r="AX46" s="8"/>
      <c r="AY46" s="8"/>
      <c r="AZ46" s="8"/>
      <c r="BA46" s="8"/>
      <c r="BB46" s="8"/>
      <c r="BC46" s="8"/>
      <c r="BD46" s="8"/>
      <c r="BE46" s="8"/>
      <c r="BF46" s="8"/>
      <c r="BG46" s="8"/>
      <c r="BH46" s="8"/>
      <c r="BI46" s="8"/>
    </row>
    <row r="47" spans="1:61" s="7" customFormat="1" x14ac:dyDescent="0.2">
      <c r="A47" s="118"/>
      <c r="B47" s="118" t="str">
        <f t="shared" si="15"/>
        <v>monthly</v>
      </c>
      <c r="C47" s="118" t="str">
        <f t="shared" si="11"/>
        <v/>
      </c>
      <c r="D47" s="118" t="s">
        <v>78</v>
      </c>
      <c r="E47" s="118" t="str">
        <f t="shared" si="12"/>
        <v/>
      </c>
      <c r="F47" s="163"/>
      <c r="G47" s="163"/>
      <c r="H47" s="163"/>
      <c r="I47" s="118" t="s">
        <v>106</v>
      </c>
      <c r="J47" s="163">
        <v>6</v>
      </c>
      <c r="K47" s="163"/>
      <c r="L47" s="163" t="s">
        <v>160</v>
      </c>
      <c r="M47" s="168">
        <f t="shared" si="13"/>
        <v>0</v>
      </c>
      <c r="N47" s="168">
        <f t="shared" si="14"/>
        <v>0</v>
      </c>
      <c r="O47" s="236"/>
      <c r="P47" s="236"/>
      <c r="Q47" s="236"/>
      <c r="R47" s="236"/>
      <c r="S47" s="236"/>
      <c r="T47" s="245"/>
      <c r="U47" s="245"/>
      <c r="V47" s="238" t="s">
        <v>71</v>
      </c>
      <c r="W47" s="238"/>
      <c r="X47" s="45"/>
      <c r="Y47" s="76"/>
      <c r="Z47" s="76"/>
      <c r="AA47" s="38"/>
      <c r="AB47" s="38"/>
      <c r="AC47" s="38"/>
      <c r="AD47" s="38"/>
      <c r="AE47" s="38"/>
      <c r="AF47" s="38"/>
      <c r="AG47" s="38"/>
      <c r="AH47" s="38"/>
      <c r="AI47" s="60"/>
      <c r="AJ47" s="6"/>
      <c r="AK47" s="6"/>
      <c r="AL47" s="6"/>
      <c r="AM47" s="6"/>
      <c r="AN47" s="6"/>
      <c r="AO47" s="6"/>
      <c r="AP47" s="6"/>
      <c r="AQ47" s="6"/>
      <c r="AR47" s="8"/>
      <c r="AS47" s="8"/>
      <c r="AT47" s="8"/>
      <c r="AU47" s="8"/>
      <c r="AV47" s="8"/>
      <c r="AW47" s="8"/>
      <c r="AX47" s="8"/>
      <c r="AY47" s="8"/>
      <c r="AZ47" s="8"/>
      <c r="BA47" s="8"/>
      <c r="BB47" s="8"/>
      <c r="BC47" s="8"/>
      <c r="BD47" s="8"/>
      <c r="BE47" s="8"/>
      <c r="BF47" s="8"/>
      <c r="BG47" s="8"/>
      <c r="BH47" s="8"/>
      <c r="BI47" s="8"/>
    </row>
    <row r="48" spans="1:61" s="7" customFormat="1" x14ac:dyDescent="0.2">
      <c r="A48" s="118"/>
      <c r="B48" s="118" t="str">
        <f t="shared" si="15"/>
        <v>monthly</v>
      </c>
      <c r="C48" s="118" t="str">
        <f t="shared" si="11"/>
        <v/>
      </c>
      <c r="D48" s="118" t="s">
        <v>78</v>
      </c>
      <c r="E48" s="118" t="str">
        <f t="shared" si="12"/>
        <v/>
      </c>
      <c r="F48" s="163"/>
      <c r="G48" s="163"/>
      <c r="H48" s="163"/>
      <c r="I48" s="118" t="s">
        <v>85</v>
      </c>
      <c r="J48" s="163">
        <v>7</v>
      </c>
      <c r="K48" s="163"/>
      <c r="L48" s="163" t="s">
        <v>161</v>
      </c>
      <c r="M48" s="168">
        <f t="shared" si="13"/>
        <v>0</v>
      </c>
      <c r="N48" s="168">
        <f t="shared" si="14"/>
        <v>0</v>
      </c>
      <c r="O48" s="268"/>
      <c r="P48" s="268"/>
      <c r="Q48" s="268"/>
      <c r="R48" s="268"/>
      <c r="S48" s="268"/>
      <c r="T48" s="244"/>
      <c r="U48" s="244"/>
      <c r="V48" s="240" t="s">
        <v>71</v>
      </c>
      <c r="W48" s="240"/>
      <c r="X48" s="44"/>
      <c r="Y48" s="76"/>
      <c r="Z48" s="76"/>
      <c r="AA48" s="38"/>
      <c r="AB48" s="38"/>
      <c r="AC48" s="38"/>
      <c r="AD48" s="38"/>
      <c r="AE48" s="38"/>
      <c r="AF48" s="38"/>
      <c r="AG48" s="38"/>
      <c r="AH48" s="38"/>
      <c r="AI48" s="60"/>
      <c r="AJ48" s="6"/>
      <c r="AK48" s="6"/>
      <c r="AL48" s="6"/>
      <c r="AM48" s="6"/>
      <c r="AN48" s="6"/>
      <c r="AO48" s="6"/>
      <c r="AP48" s="6"/>
      <c r="AQ48" s="6"/>
      <c r="AR48" s="8"/>
      <c r="AS48" s="8"/>
      <c r="AT48" s="8"/>
      <c r="AU48" s="8"/>
      <c r="AV48" s="8"/>
      <c r="AW48" s="8"/>
      <c r="AX48" s="8"/>
      <c r="AY48" s="8"/>
      <c r="AZ48" s="8"/>
      <c r="BA48" s="8"/>
      <c r="BB48" s="8"/>
      <c r="BC48" s="8"/>
      <c r="BD48" s="8"/>
      <c r="BE48" s="8"/>
      <c r="BF48" s="8"/>
      <c r="BG48" s="8"/>
      <c r="BH48" s="8"/>
      <c r="BI48" s="8"/>
    </row>
    <row r="49" spans="1:61" s="7" customFormat="1" x14ac:dyDescent="0.2">
      <c r="A49" s="118"/>
      <c r="B49" s="118" t="str">
        <f t="shared" si="15"/>
        <v>monthly</v>
      </c>
      <c r="C49" s="118" t="str">
        <f t="shared" si="11"/>
        <v/>
      </c>
      <c r="D49" s="118" t="s">
        <v>78</v>
      </c>
      <c r="E49" s="118" t="str">
        <f t="shared" si="12"/>
        <v/>
      </c>
      <c r="F49" s="163"/>
      <c r="G49" s="163"/>
      <c r="H49" s="163"/>
      <c r="I49" s="118" t="s">
        <v>226</v>
      </c>
      <c r="J49" s="163">
        <v>8</v>
      </c>
      <c r="K49" s="163"/>
      <c r="L49" s="163" t="s">
        <v>78</v>
      </c>
      <c r="M49" s="168">
        <f t="shared" si="13"/>
        <v>0</v>
      </c>
      <c r="N49" s="168">
        <f t="shared" si="14"/>
        <v>0</v>
      </c>
      <c r="O49" s="236"/>
      <c r="P49" s="236"/>
      <c r="Q49" s="236"/>
      <c r="R49" s="236"/>
      <c r="S49" s="236"/>
      <c r="T49" s="245"/>
      <c r="U49" s="245"/>
      <c r="V49" s="238" t="s">
        <v>71</v>
      </c>
      <c r="W49" s="238"/>
      <c r="X49" s="45"/>
      <c r="Y49" s="76"/>
      <c r="Z49" s="76"/>
      <c r="AA49" s="38"/>
      <c r="AB49" s="38"/>
      <c r="AC49" s="38"/>
      <c r="AD49" s="38"/>
      <c r="AE49" s="38"/>
      <c r="AF49" s="38"/>
      <c r="AG49" s="38"/>
      <c r="AH49" s="38"/>
      <c r="AI49" s="60"/>
      <c r="AJ49" s="6"/>
      <c r="AK49" s="6"/>
      <c r="AL49" s="6"/>
      <c r="AM49" s="6"/>
      <c r="AN49" s="6"/>
      <c r="AO49" s="6"/>
      <c r="AP49" s="6"/>
      <c r="AQ49" s="6"/>
      <c r="AR49" s="8"/>
      <c r="AS49" s="8"/>
      <c r="AT49" s="8"/>
      <c r="AU49" s="8"/>
      <c r="AV49" s="8"/>
      <c r="AW49" s="8"/>
      <c r="AX49" s="8"/>
      <c r="AY49" s="8"/>
      <c r="AZ49" s="8"/>
      <c r="BA49" s="8"/>
      <c r="BB49" s="8"/>
      <c r="BC49" s="8"/>
      <c r="BD49" s="8"/>
      <c r="BE49" s="8"/>
      <c r="BF49" s="8"/>
      <c r="BG49" s="8"/>
      <c r="BH49" s="8"/>
      <c r="BI49" s="8"/>
    </row>
    <row r="50" spans="1:61" s="7" customFormat="1" x14ac:dyDescent="0.2">
      <c r="A50" s="118"/>
      <c r="B50" s="118" t="str">
        <f t="shared" si="15"/>
        <v>monthly</v>
      </c>
      <c r="C50" s="118" t="str">
        <f t="shared" si="11"/>
        <v/>
      </c>
      <c r="D50" s="118" t="s">
        <v>78</v>
      </c>
      <c r="E50" s="118" t="str">
        <f t="shared" si="12"/>
        <v/>
      </c>
      <c r="F50" s="163"/>
      <c r="G50" s="163"/>
      <c r="H50" s="163"/>
      <c r="I50" s="163" t="s">
        <v>86</v>
      </c>
      <c r="J50" s="163">
        <v>9</v>
      </c>
      <c r="K50" s="163"/>
      <c r="L50" s="118"/>
      <c r="M50" s="168">
        <f t="shared" si="13"/>
        <v>0</v>
      </c>
      <c r="N50" s="168">
        <f>IF(V50="weekly", (T50*52)/12, IF(V50="bi-weekly", (T50*26)/12, IF(V50="semi-monthly", (T50*24)/12, IF(V50="monthly", T50, IF(V50="every 2 months", (T50*6)/12, IF(V50="every 3 months", (T50*4)/12, IF(V50="every 6 months", (T50*2)/12, IF(V50="annually", T50/12, T50))))))))</f>
        <v>0</v>
      </c>
      <c r="O50" s="268"/>
      <c r="P50" s="268"/>
      <c r="Q50" s="268"/>
      <c r="R50" s="268"/>
      <c r="S50" s="268"/>
      <c r="T50" s="244"/>
      <c r="U50" s="244"/>
      <c r="V50" s="240" t="s">
        <v>71</v>
      </c>
      <c r="W50" s="240"/>
      <c r="X50" s="44"/>
      <c r="Y50" s="76"/>
      <c r="Z50" s="76"/>
      <c r="AA50" s="38"/>
      <c r="AB50" s="38"/>
      <c r="AC50" s="38"/>
      <c r="AD50" s="38"/>
      <c r="AE50" s="38"/>
      <c r="AF50" s="38"/>
      <c r="AG50" s="38"/>
      <c r="AH50" s="38"/>
      <c r="AI50" s="60"/>
      <c r="AJ50" s="6"/>
      <c r="AK50" s="6"/>
      <c r="AL50" s="6"/>
      <c r="AM50" s="6"/>
      <c r="AN50" s="6"/>
      <c r="AO50" s="6"/>
      <c r="AP50" s="6"/>
      <c r="AQ50" s="6"/>
      <c r="AR50" s="8"/>
      <c r="AS50" s="8"/>
      <c r="AT50" s="8"/>
      <c r="AU50" s="8"/>
      <c r="AV50" s="8"/>
      <c r="AW50" s="8"/>
      <c r="AX50" s="8"/>
      <c r="AY50" s="8"/>
      <c r="AZ50" s="8"/>
      <c r="BA50" s="8"/>
      <c r="BB50" s="8"/>
      <c r="BC50" s="8"/>
      <c r="BD50" s="8"/>
      <c r="BE50" s="8"/>
      <c r="BF50" s="8"/>
      <c r="BG50" s="8"/>
      <c r="BH50" s="8"/>
      <c r="BI50" s="8"/>
    </row>
    <row r="51" spans="1:61" s="7" customFormat="1" x14ac:dyDescent="0.2">
      <c r="A51" s="118"/>
      <c r="B51" s="118" t="str">
        <f t="shared" si="15"/>
        <v>monthly</v>
      </c>
      <c r="C51" s="118" t="str">
        <f t="shared" si="11"/>
        <v/>
      </c>
      <c r="D51" s="118" t="s">
        <v>78</v>
      </c>
      <c r="E51" s="118" t="str">
        <f t="shared" si="12"/>
        <v/>
      </c>
      <c r="F51" s="163"/>
      <c r="G51" s="163"/>
      <c r="H51" s="163"/>
      <c r="I51" s="163" t="s">
        <v>227</v>
      </c>
      <c r="J51" s="163">
        <v>10</v>
      </c>
      <c r="K51" s="163"/>
      <c r="L51" s="118"/>
      <c r="M51" s="168">
        <f t="shared" si="13"/>
        <v>0</v>
      </c>
      <c r="N51" s="168">
        <f>IF(V51="weekly", (T51*52)/12, IF(V51="bi-weekly", (T51*26)/12, IF(V51="semi-monthly", (T51*24)/12, IF(V51="monthly", T51, IF(V51="every 2 months", (T51*6)/12, IF(V51="every 3 months", (T51*4)/12, IF(V51="every 6 months", (T51*2)/12, IF(V51="annually", T51/12, T51))))))))</f>
        <v>0</v>
      </c>
      <c r="O51" s="236"/>
      <c r="P51" s="236"/>
      <c r="Q51" s="236"/>
      <c r="R51" s="236"/>
      <c r="S51" s="236"/>
      <c r="T51" s="245"/>
      <c r="U51" s="245"/>
      <c r="V51" s="238" t="s">
        <v>71</v>
      </c>
      <c r="W51" s="238"/>
      <c r="X51" s="42"/>
      <c r="Y51" s="76"/>
      <c r="Z51" s="76"/>
      <c r="AA51" s="38"/>
      <c r="AB51" s="38"/>
      <c r="AC51" s="38"/>
      <c r="AD51" s="38"/>
      <c r="AE51" s="38"/>
      <c r="AF51" s="38"/>
      <c r="AG51" s="38"/>
      <c r="AH51" s="38"/>
      <c r="AI51" s="60"/>
      <c r="AJ51" s="6"/>
      <c r="AK51" s="6"/>
      <c r="AL51" s="6"/>
      <c r="AM51" s="6"/>
      <c r="AN51" s="6"/>
      <c r="AO51" s="6"/>
      <c r="AP51" s="6"/>
      <c r="AQ51" s="6"/>
      <c r="AR51" s="8"/>
      <c r="AS51" s="8"/>
      <c r="AT51" s="8"/>
      <c r="AU51" s="8"/>
      <c r="AV51" s="8"/>
      <c r="AW51" s="8"/>
      <c r="AX51" s="8"/>
      <c r="AY51" s="8"/>
      <c r="AZ51" s="8"/>
      <c r="BA51" s="8"/>
      <c r="BB51" s="8"/>
      <c r="BC51" s="8"/>
      <c r="BD51" s="8"/>
      <c r="BE51" s="8"/>
      <c r="BF51" s="8"/>
      <c r="BG51" s="8"/>
      <c r="BH51" s="8"/>
      <c r="BI51" s="8"/>
    </row>
    <row r="52" spans="1:61" s="7" customFormat="1" x14ac:dyDescent="0.2">
      <c r="A52" s="118"/>
      <c r="B52" s="118" t="str">
        <f t="shared" si="15"/>
        <v>monthly</v>
      </c>
      <c r="C52" s="118" t="str">
        <f t="shared" si="11"/>
        <v/>
      </c>
      <c r="D52" s="118" t="s">
        <v>78</v>
      </c>
      <c r="E52" s="118" t="str">
        <f t="shared" si="12"/>
        <v/>
      </c>
      <c r="F52" s="163"/>
      <c r="G52" s="163"/>
      <c r="H52" s="163"/>
      <c r="I52" s="163" t="s">
        <v>228</v>
      </c>
      <c r="J52" s="163">
        <v>11</v>
      </c>
      <c r="K52" s="163"/>
      <c r="L52" s="118"/>
      <c r="M52" s="168">
        <f t="shared" si="13"/>
        <v>0</v>
      </c>
      <c r="N52" s="168">
        <f t="shared" ref="N52:N56" si="16">IF(V52="weekly", (T52*52)/12, IF(V52="bi-weekly", (T52*26)/12, IF(V52="semi-monthly", (T52*24)/12, IF(V52="monthly", T52, IF(V52="every 2 months", (T52*6)/12, IF(V52="every 3 months", (T52*4)/12, IF(V52="every 6 months", (T52*2)/12, IF(V52="annually", T52/12, T52))))))))</f>
        <v>0</v>
      </c>
      <c r="O52" s="268"/>
      <c r="P52" s="268"/>
      <c r="Q52" s="268"/>
      <c r="R52" s="268"/>
      <c r="S52" s="268"/>
      <c r="T52" s="244"/>
      <c r="U52" s="244"/>
      <c r="V52" s="240" t="s">
        <v>71</v>
      </c>
      <c r="W52" s="240"/>
      <c r="X52" s="44"/>
      <c r="Y52" s="76"/>
      <c r="Z52" s="76"/>
      <c r="AA52" s="38"/>
      <c r="AB52" s="38"/>
      <c r="AC52" s="38"/>
      <c r="AD52" s="38"/>
      <c r="AE52" s="38"/>
      <c r="AF52" s="38"/>
      <c r="AG52" s="38"/>
      <c r="AH52" s="38"/>
      <c r="AI52" s="60"/>
      <c r="AJ52" s="6"/>
      <c r="AK52" s="6"/>
      <c r="AL52" s="6"/>
      <c r="AM52" s="6"/>
      <c r="AN52" s="6"/>
      <c r="AO52" s="6"/>
      <c r="AP52" s="6"/>
      <c r="AQ52" s="6"/>
      <c r="AR52" s="8"/>
      <c r="AS52" s="8"/>
      <c r="AT52" s="8"/>
      <c r="AU52" s="8"/>
      <c r="AV52" s="8"/>
      <c r="AW52" s="8"/>
      <c r="AX52" s="8"/>
      <c r="AY52" s="8"/>
      <c r="AZ52" s="8"/>
      <c r="BA52" s="8"/>
      <c r="BB52" s="8"/>
      <c r="BC52" s="8"/>
      <c r="BD52" s="8"/>
      <c r="BE52" s="8"/>
      <c r="BF52" s="8"/>
      <c r="BG52" s="8"/>
      <c r="BH52" s="8"/>
      <c r="BI52" s="8"/>
    </row>
    <row r="53" spans="1:61" s="7" customFormat="1" ht="12.75" customHeight="1" x14ac:dyDescent="0.2">
      <c r="A53" s="118"/>
      <c r="B53" s="118" t="str">
        <f t="shared" si="15"/>
        <v>monthly</v>
      </c>
      <c r="C53" s="118" t="str">
        <f t="shared" si="11"/>
        <v/>
      </c>
      <c r="D53" s="118" t="s">
        <v>78</v>
      </c>
      <c r="E53" s="118" t="str">
        <f t="shared" si="12"/>
        <v/>
      </c>
      <c r="F53" s="163"/>
      <c r="G53" s="163"/>
      <c r="H53" s="163"/>
      <c r="I53" s="163" t="s">
        <v>8</v>
      </c>
      <c r="J53" s="163">
        <v>12</v>
      </c>
      <c r="K53" s="163"/>
      <c r="L53" s="118"/>
      <c r="M53" s="168">
        <f t="shared" si="13"/>
        <v>0</v>
      </c>
      <c r="N53" s="168">
        <f t="shared" si="16"/>
        <v>0</v>
      </c>
      <c r="O53" s="236"/>
      <c r="P53" s="236"/>
      <c r="Q53" s="236"/>
      <c r="R53" s="236"/>
      <c r="S53" s="236"/>
      <c r="T53" s="245"/>
      <c r="U53" s="245"/>
      <c r="V53" s="238" t="s">
        <v>71</v>
      </c>
      <c r="W53" s="238"/>
      <c r="X53" s="45"/>
      <c r="Y53" s="76"/>
      <c r="Z53" s="76"/>
      <c r="AA53" s="316" t="str">
        <f>IF(T12="On", "Important Budgeting Tip", "")</f>
        <v>Important Budgeting Tip</v>
      </c>
      <c r="AB53" s="316"/>
      <c r="AC53" s="316"/>
      <c r="AD53" s="316"/>
      <c r="AE53" s="316"/>
      <c r="AF53" s="316"/>
      <c r="AG53" s="316"/>
      <c r="AH53" s="316"/>
      <c r="AI53" s="85"/>
      <c r="AJ53" s="6"/>
      <c r="AK53" s="6"/>
      <c r="AL53" s="6"/>
      <c r="AM53" s="6"/>
      <c r="AN53" s="6"/>
      <c r="AO53" s="6"/>
      <c r="AP53" s="6"/>
      <c r="AQ53" s="6"/>
      <c r="AR53" s="8"/>
      <c r="AS53" s="8"/>
      <c r="AT53" s="8"/>
      <c r="AU53" s="8"/>
      <c r="AV53" s="8"/>
      <c r="AW53" s="8"/>
      <c r="AX53" s="8"/>
      <c r="AY53" s="8"/>
      <c r="AZ53" s="8"/>
      <c r="BA53" s="8"/>
      <c r="BB53" s="8"/>
      <c r="BC53" s="8"/>
      <c r="BD53" s="8"/>
      <c r="BE53" s="8"/>
      <c r="BF53" s="8"/>
      <c r="BG53" s="8"/>
      <c r="BH53" s="8"/>
      <c r="BI53" s="8"/>
    </row>
    <row r="54" spans="1:61" s="7" customFormat="1" x14ac:dyDescent="0.2">
      <c r="A54" s="118"/>
      <c r="B54" s="118" t="str">
        <f t="shared" si="15"/>
        <v>annually</v>
      </c>
      <c r="C54" s="118" t="str">
        <f t="shared" si="11"/>
        <v/>
      </c>
      <c r="D54" s="118" t="s">
        <v>78</v>
      </c>
      <c r="E54" s="118" t="str">
        <f t="shared" si="12"/>
        <v/>
      </c>
      <c r="F54" s="163"/>
      <c r="G54" s="163"/>
      <c r="H54" s="163"/>
      <c r="I54" s="163"/>
      <c r="J54" s="163">
        <v>13</v>
      </c>
      <c r="K54" s="163"/>
      <c r="L54" s="118"/>
      <c r="M54" s="168">
        <f>COUNTIF(T54,"&gt;0")</f>
        <v>0</v>
      </c>
      <c r="N54" s="168">
        <f>IF(V54="weekly", (T54*52)/12, IF(V54="bi-weekly", (T54*26)/12, IF(V54="semi-monthly", (T54*24)/12, IF(V54="monthly", T54, IF(V54="every 2 months", (T54*6)/12, IF(V54="every 3 months", (T54*4)/12, IF(V54="every 6 months", (T54*2)/12, IF(V54="annually", T54/12, T54))))))))</f>
        <v>0</v>
      </c>
      <c r="O54" s="268"/>
      <c r="P54" s="268"/>
      <c r="Q54" s="268"/>
      <c r="R54" s="268"/>
      <c r="S54" s="268"/>
      <c r="T54" s="244"/>
      <c r="U54" s="244"/>
      <c r="V54" s="240" t="s">
        <v>78</v>
      </c>
      <c r="W54" s="240"/>
      <c r="X54" s="44"/>
      <c r="Y54" s="76"/>
      <c r="Z54" s="76"/>
      <c r="AA54" s="230" t="str">
        <f>IF(T12="On", IF(OR(T4="First Name",T4=""), CONCATENATE(J303), CONCATENATE(PROPER(T4),J302)), "")</f>
        <v>You can turn a decent budget into a great one – that really works well – by tracking your expenses. After you’ve tracked your expenses, you can replace the numbers you've entered today with more accurate figures.</v>
      </c>
      <c r="AB54" s="230"/>
      <c r="AC54" s="230"/>
      <c r="AD54" s="230"/>
      <c r="AE54" s="230"/>
      <c r="AF54" s="230"/>
      <c r="AG54" s="230"/>
      <c r="AH54" s="230"/>
      <c r="AI54" s="85"/>
      <c r="AJ54" s="6"/>
      <c r="AK54" s="6"/>
      <c r="AL54" s="6"/>
      <c r="AM54" s="6"/>
      <c r="AN54" s="6"/>
      <c r="AO54" s="6"/>
      <c r="AP54" s="6"/>
      <c r="AQ54" s="6"/>
      <c r="AR54" s="8"/>
      <c r="AS54" s="8"/>
      <c r="AT54" s="8"/>
      <c r="AU54" s="8"/>
      <c r="AV54" s="8"/>
      <c r="AW54" s="8"/>
      <c r="AX54" s="8"/>
      <c r="AY54" s="8"/>
      <c r="AZ54" s="8"/>
      <c r="BA54" s="8"/>
      <c r="BB54" s="8"/>
      <c r="BC54" s="8"/>
      <c r="BD54" s="8"/>
      <c r="BE54" s="8"/>
      <c r="BF54" s="8"/>
      <c r="BG54" s="8"/>
      <c r="BH54" s="8"/>
      <c r="BI54" s="8"/>
    </row>
    <row r="55" spans="1:61" s="7" customFormat="1" x14ac:dyDescent="0.2">
      <c r="A55" s="118"/>
      <c r="B55" s="118" t="str">
        <f t="shared" si="15"/>
        <v>monthly</v>
      </c>
      <c r="C55" s="118" t="str">
        <f t="shared" si="11"/>
        <v/>
      </c>
      <c r="D55" s="118" t="s">
        <v>78</v>
      </c>
      <c r="E55" s="118" t="str">
        <f t="shared" si="12"/>
        <v/>
      </c>
      <c r="F55" s="163"/>
      <c r="G55" s="163"/>
      <c r="H55" s="163"/>
      <c r="I55" s="163" t="s">
        <v>145</v>
      </c>
      <c r="J55" s="163">
        <v>14</v>
      </c>
      <c r="K55" s="163"/>
      <c r="L55" s="118"/>
      <c r="M55" s="168">
        <f t="shared" si="13"/>
        <v>0</v>
      </c>
      <c r="N55" s="168">
        <f t="shared" si="16"/>
        <v>0</v>
      </c>
      <c r="O55" s="236"/>
      <c r="P55" s="236"/>
      <c r="Q55" s="236"/>
      <c r="R55" s="236"/>
      <c r="S55" s="236"/>
      <c r="T55" s="245"/>
      <c r="U55" s="245"/>
      <c r="V55" s="238" t="s">
        <v>71</v>
      </c>
      <c r="W55" s="238"/>
      <c r="X55" s="45"/>
      <c r="Y55" s="76"/>
      <c r="Z55" s="76"/>
      <c r="AA55" s="230"/>
      <c r="AB55" s="230"/>
      <c r="AC55" s="230"/>
      <c r="AD55" s="230"/>
      <c r="AE55" s="230"/>
      <c r="AF55" s="230"/>
      <c r="AG55" s="230"/>
      <c r="AH55" s="230"/>
      <c r="AI55" s="85"/>
      <c r="AJ55" s="6"/>
      <c r="AK55" s="6"/>
      <c r="AL55" s="6"/>
      <c r="AM55" s="6"/>
      <c r="AN55" s="6"/>
      <c r="AO55" s="6"/>
      <c r="AP55" s="6"/>
      <c r="AQ55" s="6"/>
      <c r="AR55" s="8"/>
      <c r="AS55" s="8"/>
      <c r="AT55" s="8"/>
      <c r="AU55" s="8"/>
      <c r="AV55" s="8"/>
      <c r="AW55" s="8"/>
      <c r="AX55" s="8"/>
      <c r="AY55" s="8"/>
      <c r="AZ55" s="8"/>
      <c r="BA55" s="8"/>
      <c r="BB55" s="8"/>
      <c r="BC55" s="8"/>
      <c r="BD55" s="8"/>
      <c r="BE55" s="8"/>
      <c r="BF55" s="8"/>
      <c r="BG55" s="8"/>
      <c r="BH55" s="8"/>
      <c r="BI55" s="8"/>
    </row>
    <row r="56" spans="1:61" s="7" customFormat="1" x14ac:dyDescent="0.2">
      <c r="A56" s="118"/>
      <c r="B56" s="118" t="str">
        <f t="shared" si="15"/>
        <v>monthly</v>
      </c>
      <c r="C56" s="118" t="str">
        <f t="shared" si="11"/>
        <v/>
      </c>
      <c r="D56" s="118" t="s">
        <v>78</v>
      </c>
      <c r="E56" s="118" t="str">
        <f t="shared" si="12"/>
        <v/>
      </c>
      <c r="F56" s="163"/>
      <c r="G56" s="163"/>
      <c r="H56" s="163"/>
      <c r="I56" s="163" t="str">
        <f>IF(OR(T4="First Name", T4=""), CONCATENATE(K58), CONCATENATE(PROPER(T4),J58,K58))</f>
        <v>Cell Phone</v>
      </c>
      <c r="J56" s="163">
        <v>15</v>
      </c>
      <c r="K56" s="163"/>
      <c r="L56" s="163"/>
      <c r="M56" s="168">
        <f t="shared" si="13"/>
        <v>0</v>
      </c>
      <c r="N56" s="168">
        <f t="shared" si="16"/>
        <v>0</v>
      </c>
      <c r="O56" s="255"/>
      <c r="P56" s="255"/>
      <c r="Q56" s="255"/>
      <c r="R56" s="255"/>
      <c r="S56" s="255"/>
      <c r="T56" s="244"/>
      <c r="U56" s="244"/>
      <c r="V56" s="240" t="s">
        <v>71</v>
      </c>
      <c r="W56" s="240"/>
      <c r="X56" s="44"/>
      <c r="Y56" s="76"/>
      <c r="Z56" s="76"/>
      <c r="AA56" s="230"/>
      <c r="AB56" s="230"/>
      <c r="AC56" s="230"/>
      <c r="AD56" s="230"/>
      <c r="AE56" s="230"/>
      <c r="AF56" s="230"/>
      <c r="AG56" s="230"/>
      <c r="AH56" s="230"/>
      <c r="AI56" s="85"/>
      <c r="AJ56" s="6"/>
      <c r="AK56" s="6"/>
      <c r="AL56" s="6"/>
      <c r="AM56" s="6"/>
      <c r="AN56" s="6"/>
      <c r="AO56" s="6"/>
      <c r="AP56" s="6"/>
      <c r="AQ56" s="6"/>
      <c r="AR56" s="8"/>
      <c r="AS56" s="8"/>
      <c r="AT56" s="8"/>
      <c r="AU56" s="8"/>
      <c r="AV56" s="8"/>
      <c r="AW56" s="8"/>
      <c r="AX56" s="8"/>
      <c r="AY56" s="8"/>
      <c r="AZ56" s="8"/>
      <c r="BA56" s="8"/>
      <c r="BB56" s="8"/>
      <c r="BC56" s="8"/>
      <c r="BD56" s="8"/>
      <c r="BE56" s="8"/>
      <c r="BF56" s="8"/>
      <c r="BG56" s="8"/>
      <c r="BH56" s="8"/>
      <c r="BI56" s="8"/>
    </row>
    <row r="57" spans="1:61" s="7" customFormat="1" ht="17.25" customHeight="1" x14ac:dyDescent="0.2">
      <c r="A57" s="118"/>
      <c r="B57" s="118"/>
      <c r="C57" s="118"/>
      <c r="D57" s="118"/>
      <c r="E57" s="118"/>
      <c r="F57" s="163"/>
      <c r="G57" s="163"/>
      <c r="H57" s="163"/>
      <c r="I57" s="163" t="str">
        <f>IF(OR(T6="First Name", T6=""), CONCATENATE(K59,N3), CONCATENATE(PROPER(T6),J59,K59))</f>
        <v>Cell Phone 2</v>
      </c>
      <c r="J57" s="163"/>
      <c r="K57" s="163"/>
      <c r="L57" s="163"/>
      <c r="M57" s="168">
        <f>SUM(M42:M56)</f>
        <v>0</v>
      </c>
      <c r="N57" s="168"/>
      <c r="O57" s="264" t="str">
        <f>IF(T12="On", IF(M57=0,  "HOUSING EXPENSES TOTAL", IF(AND(M57&gt;0,T37&lt;=0), "HOUSING EXPENSES TOTAL", IF((T57/T37)&gt;V256, "Your HOUSING EXPENSE TOTAL of", "HOUSING EXPENSES TOTAL"))), "HOUSING EXPENSES TOTAL")</f>
        <v>HOUSING EXPENSES TOTAL</v>
      </c>
      <c r="P57" s="264"/>
      <c r="Q57" s="264"/>
      <c r="R57" s="264"/>
      <c r="S57" s="264"/>
      <c r="T57" s="275">
        <f>SUM(N42:N56)</f>
        <v>0</v>
      </c>
      <c r="U57" s="275"/>
      <c r="V57" s="31" t="e">
        <f>IF(T12="On", IF(N256="Changed", "", T57/T37))</f>
        <v>#DIV/0!</v>
      </c>
      <c r="W57" s="283" t="str">
        <f>IF(T12="On", IF(M57=0, "", IF(AND(M57&gt;0,T37&lt;=0), "", IF((T57/T37)&gt;1, "is greater than your income", IF((T57/T37)&gt;V256, CONCATENATE("is greater than ",V256*100,"% of your income"),  "")))))</f>
        <v/>
      </c>
      <c r="X57" s="283"/>
      <c r="Y57" s="76"/>
      <c r="Z57" s="86"/>
      <c r="AA57" s="322" t="str">
        <f>IF(T12="On", HYPERLINK("http://www.mymoneycoach.ca/resources/financial-worksheets/expense-tracker-worksheet-calculator-bcal","To learn how to track your expenses and get a copy of our free Excel tracking spreadsheet, click here."), "")</f>
        <v>To learn how to track your expenses and get a copy of our free Excel tracking spreadsheet, click here.</v>
      </c>
      <c r="AB57" s="322"/>
      <c r="AC57" s="322"/>
      <c r="AD57" s="322"/>
      <c r="AE57" s="322"/>
      <c r="AF57" s="322"/>
      <c r="AG57" s="322"/>
      <c r="AH57" s="322"/>
      <c r="AI57" s="87"/>
      <c r="AJ57" s="6"/>
      <c r="AK57" s="6"/>
      <c r="AL57" s="6"/>
      <c r="AM57" s="6"/>
      <c r="AN57" s="6"/>
      <c r="AO57" s="6"/>
      <c r="AP57" s="6"/>
      <c r="AQ57" s="6"/>
      <c r="AR57" s="8"/>
      <c r="AS57" s="8"/>
      <c r="AT57" s="8"/>
      <c r="AU57" s="8"/>
      <c r="AV57" s="8"/>
      <c r="AW57" s="8"/>
      <c r="AX57" s="8"/>
      <c r="AY57" s="8"/>
      <c r="AZ57" s="8"/>
      <c r="BA57" s="8"/>
      <c r="BB57" s="8"/>
      <c r="BC57" s="8"/>
      <c r="BD57" s="8"/>
      <c r="BE57" s="8"/>
      <c r="BF57" s="8"/>
      <c r="BG57" s="8"/>
      <c r="BH57" s="8"/>
      <c r="BI57" s="8"/>
    </row>
    <row r="58" spans="1:61" s="7" customFormat="1" ht="32.1" customHeight="1" x14ac:dyDescent="0.2">
      <c r="A58" s="118"/>
      <c r="B58" s="118"/>
      <c r="C58" s="118"/>
      <c r="D58" s="118"/>
      <c r="E58" s="118"/>
      <c r="F58" s="163"/>
      <c r="G58" s="163"/>
      <c r="H58" s="163"/>
      <c r="I58" s="163" t="s">
        <v>108</v>
      </c>
      <c r="J58" s="167" t="s">
        <v>102</v>
      </c>
      <c r="K58" s="163" t="s">
        <v>107</v>
      </c>
      <c r="L58" s="163"/>
      <c r="M58" s="168"/>
      <c r="N58" s="168"/>
      <c r="O58" s="246" t="str">
        <f>IF(T12="On", IF(M57=0, "", IF(AND(M57&gt;0,T37&lt;=0), "Please enter your income in the green highlighted area above.", IF((T57/T37)&gt;1, "Wow, that's a lot for housing expenses! Double check your numbers. Something is off.", IF((T57/T37)&gt;V256, CONCATENATE("Note: Unless housing costs in your area are really high, it's best to keep your housing expenses within ",V256*100,"% of your income. You're at ", K41,"%."), "")))), "")</f>
        <v/>
      </c>
      <c r="P58" s="246"/>
      <c r="Q58" s="246"/>
      <c r="R58" s="246"/>
      <c r="S58" s="246"/>
      <c r="T58" s="246"/>
      <c r="U58" s="246"/>
      <c r="V58" s="246"/>
      <c r="W58" s="246"/>
      <c r="X58" s="246"/>
      <c r="Y58" s="76"/>
      <c r="Z58" s="86"/>
      <c r="AA58" s="322"/>
      <c r="AB58" s="322"/>
      <c r="AC58" s="322"/>
      <c r="AD58" s="322"/>
      <c r="AE58" s="322"/>
      <c r="AF58" s="322"/>
      <c r="AG58" s="322"/>
      <c r="AH58" s="322"/>
      <c r="AI58" s="87"/>
      <c r="AJ58" s="6"/>
      <c r="AK58" s="6"/>
      <c r="AL58" s="6"/>
      <c r="AM58" s="6"/>
      <c r="AN58" s="6"/>
      <c r="AO58" s="6"/>
      <c r="AP58" s="6"/>
      <c r="AQ58" s="6"/>
      <c r="AR58" s="8"/>
      <c r="AS58" s="8"/>
      <c r="AT58" s="8"/>
      <c r="AU58" s="8"/>
      <c r="AV58" s="8"/>
      <c r="AW58" s="8"/>
      <c r="AX58" s="8"/>
      <c r="AY58" s="8"/>
      <c r="AZ58" s="8"/>
      <c r="BA58" s="8"/>
      <c r="BB58" s="8"/>
      <c r="BC58" s="8"/>
      <c r="BD58" s="8"/>
      <c r="BE58" s="8"/>
      <c r="BF58" s="8"/>
      <c r="BG58" s="8"/>
      <c r="BH58" s="8"/>
      <c r="BI58" s="8"/>
    </row>
    <row r="59" spans="1:61" s="11" customFormat="1" ht="17.25" customHeight="1" x14ac:dyDescent="0.2">
      <c r="A59" s="188"/>
      <c r="B59" s="118"/>
      <c r="C59" s="118"/>
      <c r="D59" s="118"/>
      <c r="E59" s="118"/>
      <c r="F59" s="169"/>
      <c r="G59" s="169"/>
      <c r="H59" s="169"/>
      <c r="I59" s="163" t="s">
        <v>109</v>
      </c>
      <c r="J59" s="167" t="s">
        <v>102</v>
      </c>
      <c r="K59" s="163" t="s">
        <v>107</v>
      </c>
      <c r="L59" s="169" t="s">
        <v>365</v>
      </c>
      <c r="M59" s="192" t="s">
        <v>364</v>
      </c>
      <c r="N59" s="180">
        <f>ROUND(T37*0.05,0)</f>
        <v>0</v>
      </c>
      <c r="O59" s="253" t="s">
        <v>153</v>
      </c>
      <c r="P59" s="253"/>
      <c r="Q59" s="253"/>
      <c r="R59" s="253"/>
      <c r="S59" s="253"/>
      <c r="T59" s="253"/>
      <c r="U59" s="253"/>
      <c r="V59" s="253"/>
      <c r="W59" s="253"/>
      <c r="X59" s="253"/>
      <c r="Y59" s="84"/>
      <c r="Z59" s="88"/>
      <c r="AA59" s="54"/>
      <c r="AB59" s="54"/>
      <c r="AC59" s="54"/>
      <c r="AD59" s="54"/>
      <c r="AE59" s="54"/>
      <c r="AF59" s="54"/>
      <c r="AG59" s="54"/>
      <c r="AH59" s="54"/>
      <c r="AI59" s="55"/>
      <c r="AJ59" s="10"/>
      <c r="AK59" s="10"/>
      <c r="AL59" s="10"/>
      <c r="AM59" s="10"/>
      <c r="AN59" s="10"/>
      <c r="AO59" s="10"/>
      <c r="AP59" s="10"/>
      <c r="AQ59" s="10"/>
      <c r="AR59" s="12"/>
      <c r="AS59" s="12"/>
      <c r="AT59" s="12"/>
      <c r="AU59" s="12"/>
      <c r="AV59" s="12"/>
      <c r="AW59" s="12"/>
      <c r="AX59" s="12"/>
      <c r="AY59" s="12"/>
      <c r="AZ59" s="12"/>
      <c r="BA59" s="12"/>
      <c r="BB59" s="12"/>
      <c r="BC59" s="12"/>
      <c r="BD59" s="12"/>
      <c r="BE59" s="12"/>
      <c r="BF59" s="12"/>
      <c r="BG59" s="12"/>
      <c r="BH59" s="12"/>
      <c r="BI59" s="12"/>
    </row>
    <row r="60" spans="1:61" s="11" customFormat="1" ht="47.25" customHeight="1" x14ac:dyDescent="0.2">
      <c r="A60" s="188"/>
      <c r="B60" s="118"/>
      <c r="C60" s="118"/>
      <c r="D60" s="118"/>
      <c r="E60" s="118"/>
      <c r="F60" s="169"/>
      <c r="G60" s="169"/>
      <c r="H60" s="169"/>
      <c r="I60" s="163" t="s">
        <v>178</v>
      </c>
      <c r="J60" s="163"/>
      <c r="K60" s="169"/>
      <c r="L60" s="169"/>
      <c r="M60" s="192"/>
      <c r="N60" s="192"/>
      <c r="O60" s="260" t="str">
        <f>IF(T12="On", IF(T37=0, "Utility expenses shouldn't exceed 5% of your budget.", IF(T37&gt;0, CONCATENATE(M59,N59,L59), "Utility expenses shouldn't exceed 5% of your budget.")), "")</f>
        <v>Utility expenses shouldn't exceed 5% of your budget.</v>
      </c>
      <c r="P60" s="260"/>
      <c r="Q60" s="260"/>
      <c r="R60" s="260"/>
      <c r="S60" s="260"/>
      <c r="T60" s="243" t="s">
        <v>80</v>
      </c>
      <c r="U60" s="243"/>
      <c r="V60" s="234" t="s">
        <v>79</v>
      </c>
      <c r="W60" s="234"/>
      <c r="X60" s="133" t="s">
        <v>40</v>
      </c>
      <c r="Y60" s="84"/>
      <c r="Z60" s="88"/>
      <c r="AA60" s="55"/>
      <c r="AB60" s="55"/>
      <c r="AC60" s="55"/>
      <c r="AD60" s="55"/>
      <c r="AE60" s="55"/>
      <c r="AF60" s="55"/>
      <c r="AG60" s="55"/>
      <c r="AH60" s="55"/>
      <c r="AI60" s="55"/>
      <c r="AJ60" s="10"/>
      <c r="AK60" s="10"/>
      <c r="AL60" s="10"/>
      <c r="AM60" s="10"/>
      <c r="AN60" s="10"/>
      <c r="AO60" s="10"/>
      <c r="AP60" s="10"/>
      <c r="AQ60" s="10"/>
      <c r="AR60" s="12"/>
      <c r="AS60" s="12"/>
      <c r="AT60" s="12"/>
      <c r="AU60" s="12"/>
      <c r="AV60" s="12"/>
      <c r="AW60" s="12"/>
      <c r="AX60" s="12"/>
      <c r="AY60" s="12"/>
      <c r="AZ60" s="12"/>
      <c r="BA60" s="12"/>
      <c r="BB60" s="12"/>
      <c r="BC60" s="12"/>
      <c r="BD60" s="12"/>
      <c r="BE60" s="12"/>
      <c r="BF60" s="12"/>
      <c r="BG60" s="12"/>
      <c r="BH60" s="12"/>
      <c r="BI60" s="12"/>
    </row>
    <row r="61" spans="1:61" s="7" customFormat="1" x14ac:dyDescent="0.2">
      <c r="A61" s="118"/>
      <c r="B61" s="118" t="str">
        <f t="shared" ref="B61:B69" si="17">V61</f>
        <v>monthly</v>
      </c>
      <c r="C61" s="118" t="str">
        <f t="shared" ref="C61:C69" si="18">IF(T61="", "", IF(B61="weekly", T61*52, IF(B61="bi-weekly", T61*26, IF(B61="semi-monthly", T61*24, IF(B61="monthly", T61*12, IF(B61="every 2 months", T61*6, IF(B61="every 3 months", T61*4, IF(B61="quarterly", T61*4, IF(B61="every 4 months", T61*3, IF(B61="every 6 months", T61*2, IF(B61="every 8 months", T61*1.5, IF(B61="every 10 months", T61*1.2, IF(B61="annually", T61, 0)))))))))))))</f>
        <v/>
      </c>
      <c r="D61" s="118" t="s">
        <v>78</v>
      </c>
      <c r="E61" s="118" t="str">
        <f t="shared" si="12"/>
        <v/>
      </c>
      <c r="F61" s="163"/>
      <c r="G61" s="163"/>
      <c r="H61" s="163">
        <f>IF(O61="Cable",T61,0)</f>
        <v>0</v>
      </c>
      <c r="I61" s="163" t="s">
        <v>9</v>
      </c>
      <c r="J61" s="167">
        <f>IF(K61&gt;0,L61,0)</f>
        <v>0</v>
      </c>
      <c r="K61" s="163">
        <f>COUNTIF(L61,"&gt;0")</f>
        <v>0</v>
      </c>
      <c r="L61" s="163">
        <f>IF(SEARCH("cell",O61)&gt;0,T61,"")</f>
        <v>0</v>
      </c>
      <c r="M61" s="168">
        <f>COUNTIF(T61,"&gt;0")</f>
        <v>0</v>
      </c>
      <c r="N61" s="168">
        <f>IF(V61="weekly",(T61*52)/12,IF(V61="bi-weekly",(T61*26)/12,IF(V61="semi-monthly",(T61*24)/12,IF(V61="monthly",T61,IF(V61="quarterly",T61/3,IF(V61="annually",T61/12,T61))))))</f>
        <v>0</v>
      </c>
      <c r="O61" s="268" t="s">
        <v>107</v>
      </c>
      <c r="P61" s="268"/>
      <c r="Q61" s="268"/>
      <c r="R61" s="268"/>
      <c r="S61" s="268"/>
      <c r="T61" s="244"/>
      <c r="U61" s="244"/>
      <c r="V61" s="240" t="s">
        <v>71</v>
      </c>
      <c r="W61" s="240"/>
      <c r="X61" s="41" t="str">
        <f>IF(AND(T61&gt;0,M70&lt;2,M81&lt;2,M96&lt;2,M108&lt;2,M172&lt;2), "&lt;&lt; Click for more options", "")</f>
        <v/>
      </c>
      <c r="Y61" s="76"/>
      <c r="Z61" s="86"/>
      <c r="AA61" s="50"/>
      <c r="AB61" s="50"/>
      <c r="AC61" s="50"/>
      <c r="AD61" s="50"/>
      <c r="AE61" s="50"/>
      <c r="AF61" s="50"/>
      <c r="AG61" s="50"/>
      <c r="AH61" s="50"/>
      <c r="AI61" s="50"/>
      <c r="AJ61" s="6"/>
      <c r="AK61" s="6"/>
      <c r="AL61" s="6"/>
      <c r="AM61" s="6"/>
      <c r="AN61" s="6"/>
      <c r="AO61" s="6"/>
      <c r="AP61" s="6"/>
      <c r="AQ61" s="6"/>
      <c r="AR61" s="8"/>
      <c r="AS61" s="8"/>
      <c r="AT61" s="8"/>
      <c r="AU61" s="8"/>
      <c r="AV61" s="8"/>
      <c r="AW61" s="8"/>
      <c r="AX61" s="8"/>
      <c r="AY61" s="8"/>
      <c r="AZ61" s="8"/>
      <c r="BA61" s="8"/>
      <c r="BB61" s="8"/>
      <c r="BC61" s="8"/>
      <c r="BD61" s="8"/>
      <c r="BE61" s="8"/>
      <c r="BF61" s="8"/>
      <c r="BG61" s="8"/>
      <c r="BH61" s="8"/>
      <c r="BI61" s="8"/>
    </row>
    <row r="62" spans="1:61" s="7" customFormat="1" x14ac:dyDescent="0.2">
      <c r="A62" s="118"/>
      <c r="B62" s="118" t="str">
        <f t="shared" si="17"/>
        <v>monthly</v>
      </c>
      <c r="C62" s="118" t="str">
        <f t="shared" si="18"/>
        <v/>
      </c>
      <c r="D62" s="118" t="s">
        <v>78</v>
      </c>
      <c r="E62" s="118" t="str">
        <f t="shared" si="12"/>
        <v/>
      </c>
      <c r="F62" s="163"/>
      <c r="G62" s="163"/>
      <c r="H62" s="163">
        <f t="shared" ref="H62:H69" si="19">IF(O62="Cable",T62,0)</f>
        <v>0</v>
      </c>
      <c r="I62" s="163" t="s">
        <v>6</v>
      </c>
      <c r="J62" s="167">
        <f t="shared" ref="J62:J69" si="20">IF(K62&gt;0,L62,0)</f>
        <v>0</v>
      </c>
      <c r="K62" s="163">
        <f>COUNTIF(L62,"&gt;0")</f>
        <v>0</v>
      </c>
      <c r="L62" s="163" t="e">
        <f t="shared" ref="L62:L63" si="21">IF(SEARCH("cell",O62)&gt;0,T62,"")</f>
        <v>#VALUE!</v>
      </c>
      <c r="M62" s="168">
        <f t="shared" ref="M62:M68" si="22">COUNTIF(T62,"&gt;0")</f>
        <v>0</v>
      </c>
      <c r="N62" s="168">
        <f t="shared" ref="N62:N69" si="23">IF(V62="weekly",(T62*52)/12,IF(V62="bi-weekly",(T62*26)/12,IF(V62="semi-monthly",(T62*24)/12,IF(V62="monthly",T62,IF(V62="quarterly",T62/3,IF(V62="annually",T62/12,T62))))))</f>
        <v>0</v>
      </c>
      <c r="O62" s="236" t="s">
        <v>6</v>
      </c>
      <c r="P62" s="236"/>
      <c r="Q62" s="236"/>
      <c r="R62" s="236"/>
      <c r="S62" s="236"/>
      <c r="T62" s="245"/>
      <c r="U62" s="245"/>
      <c r="V62" s="238" t="s">
        <v>71</v>
      </c>
      <c r="W62" s="238"/>
      <c r="X62" s="42" t="str">
        <f>IF(AND(T62&gt;0,M70&lt;2,M81&lt;2,M96&lt;2,M108&lt;2,M172&lt;2), "&lt;&lt; Click for more options", "")</f>
        <v/>
      </c>
      <c r="Y62" s="76"/>
      <c r="Z62" s="76"/>
      <c r="AA62" s="50"/>
      <c r="AB62" s="50"/>
      <c r="AC62" s="50"/>
      <c r="AD62" s="50"/>
      <c r="AE62" s="50"/>
      <c r="AF62" s="50"/>
      <c r="AG62" s="50"/>
      <c r="AH62" s="231">
        <f>L244</f>
        <v>1</v>
      </c>
      <c r="AI62" s="56"/>
      <c r="AJ62" s="6"/>
      <c r="AK62" s="6"/>
      <c r="AL62" s="6"/>
      <c r="AM62" s="6"/>
      <c r="AN62" s="6"/>
      <c r="AO62" s="6"/>
      <c r="AP62" s="6"/>
      <c r="AQ62" s="6"/>
      <c r="AR62" s="8"/>
      <c r="AS62" s="8"/>
      <c r="AT62" s="8"/>
      <c r="AU62" s="8"/>
      <c r="AV62" s="8"/>
      <c r="AW62" s="8"/>
      <c r="AX62" s="8"/>
      <c r="AY62" s="8"/>
      <c r="AZ62" s="8"/>
      <c r="BA62" s="8"/>
      <c r="BB62" s="8"/>
      <c r="BC62" s="8"/>
      <c r="BD62" s="8"/>
      <c r="BE62" s="8"/>
      <c r="BF62" s="8"/>
      <c r="BG62" s="8"/>
      <c r="BH62" s="8"/>
      <c r="BI62" s="8"/>
    </row>
    <row r="63" spans="1:61" s="7" customFormat="1" x14ac:dyDescent="0.2">
      <c r="A63" s="118"/>
      <c r="B63" s="118" t="str">
        <f t="shared" si="17"/>
        <v>monthly</v>
      </c>
      <c r="C63" s="118" t="str">
        <f t="shared" si="18"/>
        <v/>
      </c>
      <c r="D63" s="118" t="s">
        <v>78</v>
      </c>
      <c r="E63" s="118" t="str">
        <f t="shared" si="12"/>
        <v/>
      </c>
      <c r="F63" s="163"/>
      <c r="G63" s="163"/>
      <c r="H63" s="163">
        <f t="shared" si="19"/>
        <v>0</v>
      </c>
      <c r="I63" s="163" t="s">
        <v>177</v>
      </c>
      <c r="J63" s="167">
        <f t="shared" si="20"/>
        <v>0</v>
      </c>
      <c r="K63" s="163">
        <f t="shared" ref="K63:K69" si="24">COUNTIF(L63,"&gt;0")</f>
        <v>0</v>
      </c>
      <c r="L63" s="163" t="e">
        <f t="shared" si="21"/>
        <v>#VALUE!</v>
      </c>
      <c r="M63" s="168">
        <f t="shared" si="22"/>
        <v>0</v>
      </c>
      <c r="N63" s="168">
        <f t="shared" si="23"/>
        <v>0</v>
      </c>
      <c r="O63" s="268" t="s">
        <v>388</v>
      </c>
      <c r="P63" s="268"/>
      <c r="Q63" s="268"/>
      <c r="R63" s="268"/>
      <c r="S63" s="268"/>
      <c r="T63" s="244"/>
      <c r="U63" s="244"/>
      <c r="V63" s="240" t="s">
        <v>71</v>
      </c>
      <c r="W63" s="240"/>
      <c r="X63" s="41"/>
      <c r="Y63" s="76"/>
      <c r="Z63" s="76"/>
      <c r="AA63" s="50"/>
      <c r="AB63" s="50"/>
      <c r="AC63" s="50"/>
      <c r="AD63" s="50"/>
      <c r="AE63" s="50"/>
      <c r="AF63" s="50"/>
      <c r="AG63" s="50"/>
      <c r="AH63" s="231"/>
      <c r="AI63" s="56"/>
      <c r="AJ63" s="6"/>
      <c r="AK63" s="6"/>
      <c r="AL63" s="6"/>
      <c r="AM63" s="6"/>
      <c r="AN63" s="6"/>
      <c r="AO63" s="6"/>
      <c r="AP63" s="6"/>
      <c r="AQ63" s="6"/>
      <c r="AR63" s="8"/>
      <c r="AS63" s="8"/>
      <c r="AT63" s="8"/>
      <c r="AU63" s="8"/>
      <c r="AV63" s="8"/>
      <c r="AW63" s="8"/>
      <c r="AX63" s="8"/>
      <c r="AY63" s="8"/>
      <c r="AZ63" s="8"/>
      <c r="BA63" s="8"/>
      <c r="BB63" s="8"/>
      <c r="BC63" s="8"/>
      <c r="BD63" s="8"/>
      <c r="BE63" s="8"/>
      <c r="BF63" s="8"/>
      <c r="BG63" s="8"/>
      <c r="BH63" s="8"/>
      <c r="BI63" s="8"/>
    </row>
    <row r="64" spans="1:61" s="7" customFormat="1" x14ac:dyDescent="0.2">
      <c r="A64" s="118"/>
      <c r="B64" s="118" t="str">
        <f t="shared" si="17"/>
        <v>monthly</v>
      </c>
      <c r="C64" s="118" t="str">
        <f t="shared" si="18"/>
        <v/>
      </c>
      <c r="D64" s="118" t="s">
        <v>78</v>
      </c>
      <c r="E64" s="118" t="str">
        <f t="shared" si="12"/>
        <v/>
      </c>
      <c r="F64" s="163"/>
      <c r="G64" s="163"/>
      <c r="H64" s="163">
        <f t="shared" si="19"/>
        <v>0</v>
      </c>
      <c r="I64" s="163"/>
      <c r="J64" s="167">
        <f t="shared" si="20"/>
        <v>0</v>
      </c>
      <c r="K64" s="163">
        <f t="shared" si="24"/>
        <v>0</v>
      </c>
      <c r="L64" s="163" t="e">
        <f>IF(SEARCH("cell",O64)&gt;0,T64,"")</f>
        <v>#VALUE!</v>
      </c>
      <c r="M64" s="168">
        <f t="shared" si="22"/>
        <v>0</v>
      </c>
      <c r="N64" s="168">
        <f t="shared" si="23"/>
        <v>0</v>
      </c>
      <c r="O64" s="236"/>
      <c r="P64" s="236"/>
      <c r="Q64" s="236"/>
      <c r="R64" s="236"/>
      <c r="S64" s="236"/>
      <c r="T64" s="245"/>
      <c r="U64" s="245"/>
      <c r="V64" s="238" t="s">
        <v>71</v>
      </c>
      <c r="W64" s="238"/>
      <c r="X64" s="42"/>
      <c r="Y64" s="76"/>
      <c r="Z64" s="76"/>
      <c r="AA64" s="50"/>
      <c r="AB64" s="50"/>
      <c r="AC64" s="50"/>
      <c r="AD64" s="50"/>
      <c r="AE64" s="50"/>
      <c r="AF64" s="50"/>
      <c r="AG64" s="50"/>
      <c r="AH64" s="231"/>
      <c r="AI64" s="56"/>
      <c r="AJ64" s="6"/>
      <c r="AK64" s="6"/>
      <c r="AL64" s="6"/>
      <c r="AM64" s="6"/>
      <c r="AN64" s="6"/>
      <c r="AO64" s="6"/>
      <c r="AP64" s="6"/>
      <c r="AQ64" s="6"/>
      <c r="AR64" s="8"/>
      <c r="AS64" s="8"/>
      <c r="AT64" s="8"/>
      <c r="AU64" s="8"/>
      <c r="AV64" s="8"/>
      <c r="AW64" s="8"/>
      <c r="AX64" s="8"/>
      <c r="AY64" s="8"/>
      <c r="AZ64" s="8"/>
      <c r="BA64" s="8"/>
      <c r="BB64" s="8"/>
      <c r="BC64" s="8"/>
      <c r="BD64" s="8"/>
      <c r="BE64" s="8"/>
      <c r="BF64" s="8"/>
      <c r="BG64" s="8"/>
      <c r="BH64" s="8"/>
      <c r="BI64" s="8"/>
    </row>
    <row r="65" spans="1:61" s="7" customFormat="1" x14ac:dyDescent="0.2">
      <c r="A65" s="118"/>
      <c r="B65" s="118" t="str">
        <f t="shared" si="17"/>
        <v>monthly</v>
      </c>
      <c r="C65" s="118" t="str">
        <f t="shared" si="18"/>
        <v/>
      </c>
      <c r="D65" s="118" t="s">
        <v>78</v>
      </c>
      <c r="E65" s="118" t="str">
        <f t="shared" si="12"/>
        <v/>
      </c>
      <c r="F65" s="163"/>
      <c r="G65" s="163"/>
      <c r="H65" s="163">
        <f t="shared" si="19"/>
        <v>0</v>
      </c>
      <c r="I65" s="163"/>
      <c r="J65" s="167">
        <f t="shared" si="20"/>
        <v>0</v>
      </c>
      <c r="K65" s="163">
        <f t="shared" si="24"/>
        <v>0</v>
      </c>
      <c r="L65" s="163" t="e">
        <f>IF(SEARCH("cell",O65,)&gt;0,T65,"")</f>
        <v>#VALUE!</v>
      </c>
      <c r="M65" s="168">
        <f>COUNTIF(T65,"&gt;0")</f>
        <v>0</v>
      </c>
      <c r="N65" s="168">
        <f>IF(V65="weekly",(T65*52)/12,IF(V65="bi-weekly",(T65*26)/12,IF(V65="semi-monthly",(T65*24)/12,IF(V65="monthly",T65,IF(V65="quarterly",T65/3,IF(V65="annually",T65/12,T65))))))</f>
        <v>0</v>
      </c>
      <c r="O65" s="268"/>
      <c r="P65" s="268"/>
      <c r="Q65" s="268"/>
      <c r="R65" s="268"/>
      <c r="S65" s="268"/>
      <c r="T65" s="244"/>
      <c r="U65" s="244"/>
      <c r="V65" s="240" t="s">
        <v>71</v>
      </c>
      <c r="W65" s="240"/>
      <c r="X65" s="41"/>
      <c r="Y65" s="76"/>
      <c r="Z65" s="76"/>
      <c r="AA65" s="50"/>
      <c r="AB65" s="50"/>
      <c r="AC65" s="50"/>
      <c r="AD65" s="50"/>
      <c r="AE65" s="50"/>
      <c r="AF65" s="50"/>
      <c r="AG65" s="50"/>
      <c r="AH65" s="231"/>
      <c r="AI65" s="56"/>
      <c r="AJ65" s="6"/>
      <c r="AK65" s="6"/>
      <c r="AL65" s="6"/>
      <c r="AM65" s="6"/>
      <c r="AN65" s="6"/>
      <c r="AO65" s="6"/>
      <c r="AP65" s="6"/>
      <c r="AQ65" s="6"/>
      <c r="AR65" s="8"/>
      <c r="AS65" s="8"/>
      <c r="AT65" s="8"/>
      <c r="AU65" s="8"/>
      <c r="AV65" s="8"/>
      <c r="AW65" s="8"/>
      <c r="AX65" s="8"/>
      <c r="AY65" s="8"/>
      <c r="AZ65" s="8"/>
      <c r="BA65" s="8"/>
      <c r="BB65" s="8"/>
      <c r="BC65" s="8"/>
      <c r="BD65" s="8"/>
      <c r="BE65" s="8"/>
      <c r="BF65" s="8"/>
      <c r="BG65" s="8"/>
      <c r="BH65" s="8"/>
      <c r="BI65" s="8"/>
    </row>
    <row r="66" spans="1:61" s="7" customFormat="1" x14ac:dyDescent="0.2">
      <c r="A66" s="118"/>
      <c r="B66" s="118" t="str">
        <f t="shared" si="17"/>
        <v>monthly</v>
      </c>
      <c r="C66" s="118" t="str">
        <f t="shared" si="18"/>
        <v/>
      </c>
      <c r="D66" s="118" t="s">
        <v>78</v>
      </c>
      <c r="E66" s="118" t="str">
        <f t="shared" si="12"/>
        <v/>
      </c>
      <c r="F66" s="163"/>
      <c r="G66" s="163"/>
      <c r="H66" s="163">
        <f t="shared" si="19"/>
        <v>0</v>
      </c>
      <c r="I66" s="163"/>
      <c r="J66" s="167">
        <f t="shared" si="20"/>
        <v>0</v>
      </c>
      <c r="K66" s="163">
        <f t="shared" si="24"/>
        <v>0</v>
      </c>
      <c r="L66" s="163" t="e">
        <f t="shared" ref="L66:L69" si="25">SEARCH("cell",O66)</f>
        <v>#VALUE!</v>
      </c>
      <c r="M66" s="168">
        <f t="shared" si="22"/>
        <v>0</v>
      </c>
      <c r="N66" s="168">
        <f t="shared" si="23"/>
        <v>0</v>
      </c>
      <c r="O66" s="236"/>
      <c r="P66" s="236"/>
      <c r="Q66" s="236"/>
      <c r="R66" s="236"/>
      <c r="S66" s="236"/>
      <c r="T66" s="245"/>
      <c r="U66" s="245"/>
      <c r="V66" s="238" t="s">
        <v>71</v>
      </c>
      <c r="W66" s="238"/>
      <c r="X66" s="42"/>
      <c r="Y66" s="76"/>
      <c r="Z66" s="76"/>
      <c r="AA66" s="50"/>
      <c r="AB66" s="50"/>
      <c r="AC66" s="50"/>
      <c r="AD66" s="50"/>
      <c r="AE66" s="50"/>
      <c r="AF66" s="50"/>
      <c r="AG66" s="50"/>
      <c r="AH66" s="50"/>
      <c r="AI66" s="56"/>
      <c r="AJ66" s="6"/>
      <c r="AK66" s="6"/>
      <c r="AL66" s="6"/>
      <c r="AM66" s="6"/>
      <c r="AN66" s="6"/>
      <c r="AO66" s="6"/>
      <c r="AP66" s="6"/>
      <c r="AQ66" s="6"/>
      <c r="AR66" s="8"/>
      <c r="AS66" s="8"/>
      <c r="AT66" s="8"/>
      <c r="AU66" s="8"/>
      <c r="AV66" s="8"/>
      <c r="AW66" s="8"/>
      <c r="AX66" s="8"/>
      <c r="AY66" s="8"/>
      <c r="AZ66" s="8"/>
      <c r="BA66" s="8"/>
      <c r="BB66" s="8"/>
      <c r="BC66" s="8"/>
      <c r="BD66" s="8"/>
      <c r="BE66" s="8"/>
      <c r="BF66" s="8"/>
      <c r="BG66" s="8"/>
      <c r="BH66" s="8"/>
      <c r="BI66" s="8"/>
    </row>
    <row r="67" spans="1:61" s="7" customFormat="1" x14ac:dyDescent="0.2">
      <c r="A67" s="118"/>
      <c r="B67" s="118" t="str">
        <f t="shared" si="17"/>
        <v>monthly</v>
      </c>
      <c r="C67" s="118" t="str">
        <f t="shared" si="18"/>
        <v/>
      </c>
      <c r="D67" s="118" t="s">
        <v>78</v>
      </c>
      <c r="E67" s="118" t="str">
        <f t="shared" si="12"/>
        <v/>
      </c>
      <c r="F67" s="163"/>
      <c r="G67" s="163"/>
      <c r="H67" s="163">
        <f t="shared" si="19"/>
        <v>0</v>
      </c>
      <c r="I67" s="163"/>
      <c r="J67" s="167">
        <f t="shared" si="20"/>
        <v>0</v>
      </c>
      <c r="K67" s="163">
        <f t="shared" si="24"/>
        <v>0</v>
      </c>
      <c r="L67" s="163" t="e">
        <f t="shared" si="25"/>
        <v>#VALUE!</v>
      </c>
      <c r="M67" s="168">
        <f t="shared" si="22"/>
        <v>0</v>
      </c>
      <c r="N67" s="168">
        <f t="shared" si="23"/>
        <v>0</v>
      </c>
      <c r="O67" s="268"/>
      <c r="P67" s="268"/>
      <c r="Q67" s="268"/>
      <c r="R67" s="268"/>
      <c r="S67" s="268"/>
      <c r="T67" s="244"/>
      <c r="U67" s="244"/>
      <c r="V67" s="240" t="s">
        <v>71</v>
      </c>
      <c r="W67" s="240"/>
      <c r="X67" s="41"/>
      <c r="Y67" s="76"/>
      <c r="Z67" s="76"/>
      <c r="AA67" s="50"/>
      <c r="AB67" s="50"/>
      <c r="AC67" s="50"/>
      <c r="AD67" s="50"/>
      <c r="AE67" s="50"/>
      <c r="AF67" s="50"/>
      <c r="AG67" s="50"/>
      <c r="AH67" s="50"/>
      <c r="AI67" s="56"/>
      <c r="AJ67" s="6"/>
      <c r="AK67" s="6"/>
      <c r="AL67" s="6"/>
      <c r="AM67" s="6"/>
      <c r="AN67" s="6"/>
      <c r="AO67" s="6"/>
      <c r="AP67" s="6"/>
      <c r="AQ67" s="6"/>
      <c r="AR67" s="8"/>
      <c r="AS67" s="8"/>
      <c r="AT67" s="8"/>
      <c r="AU67" s="8"/>
      <c r="AV67" s="8"/>
      <c r="AW67" s="8"/>
      <c r="AX67" s="8"/>
      <c r="AY67" s="8"/>
      <c r="AZ67" s="8"/>
      <c r="BA67" s="8"/>
      <c r="BB67" s="8"/>
      <c r="BC67" s="8"/>
      <c r="BD67" s="8"/>
      <c r="BE67" s="8"/>
      <c r="BF67" s="8"/>
      <c r="BG67" s="8"/>
      <c r="BH67" s="8"/>
      <c r="BI67" s="8"/>
    </row>
    <row r="68" spans="1:61" s="7" customFormat="1" x14ac:dyDescent="0.2">
      <c r="A68" s="118"/>
      <c r="B68" s="118" t="str">
        <f t="shared" si="17"/>
        <v>monthly</v>
      </c>
      <c r="C68" s="118" t="str">
        <f t="shared" si="18"/>
        <v/>
      </c>
      <c r="D68" s="118" t="s">
        <v>78</v>
      </c>
      <c r="E68" s="118" t="str">
        <f t="shared" si="12"/>
        <v/>
      </c>
      <c r="F68" s="163"/>
      <c r="G68" s="163"/>
      <c r="H68" s="163">
        <f t="shared" si="19"/>
        <v>0</v>
      </c>
      <c r="I68" s="163"/>
      <c r="J68" s="167">
        <f t="shared" si="20"/>
        <v>0</v>
      </c>
      <c r="K68" s="163">
        <f t="shared" si="24"/>
        <v>0</v>
      </c>
      <c r="L68" s="163" t="e">
        <f t="shared" si="25"/>
        <v>#VALUE!</v>
      </c>
      <c r="M68" s="168">
        <f t="shared" si="22"/>
        <v>0</v>
      </c>
      <c r="N68" s="168">
        <f t="shared" si="23"/>
        <v>0</v>
      </c>
      <c r="O68" s="236"/>
      <c r="P68" s="236"/>
      <c r="Q68" s="236"/>
      <c r="R68" s="236"/>
      <c r="S68" s="236"/>
      <c r="T68" s="245"/>
      <c r="U68" s="245"/>
      <c r="V68" s="238" t="s">
        <v>71</v>
      </c>
      <c r="W68" s="238"/>
      <c r="X68" s="42"/>
      <c r="Y68" s="76"/>
      <c r="Z68" s="88"/>
      <c r="AA68" s="57"/>
      <c r="AB68" s="57"/>
      <c r="AC68" s="57"/>
      <c r="AD68" s="57"/>
      <c r="AE68" s="57"/>
      <c r="AF68" s="57"/>
      <c r="AG68" s="57"/>
      <c r="AH68" s="343" t="str">
        <f>L245</f>
        <v/>
      </c>
      <c r="AI68" s="55"/>
      <c r="AJ68" s="6"/>
      <c r="AK68" s="6"/>
      <c r="AL68" s="6"/>
      <c r="AM68" s="6"/>
      <c r="AN68" s="6"/>
      <c r="AO68" s="6"/>
      <c r="AP68" s="6"/>
      <c r="AQ68" s="6"/>
      <c r="AR68" s="8"/>
      <c r="AS68" s="8"/>
      <c r="AT68" s="8"/>
      <c r="AU68" s="8"/>
      <c r="AV68" s="8"/>
      <c r="AW68" s="8"/>
      <c r="AX68" s="8"/>
      <c r="AY68" s="8"/>
      <c r="AZ68" s="8"/>
      <c r="BA68" s="8"/>
      <c r="BB68" s="8"/>
      <c r="BC68" s="8"/>
      <c r="BD68" s="8"/>
      <c r="BE68" s="8"/>
      <c r="BF68" s="8"/>
      <c r="BG68" s="8"/>
      <c r="BH68" s="8"/>
      <c r="BI68" s="8"/>
    </row>
    <row r="69" spans="1:61" s="7" customFormat="1" x14ac:dyDescent="0.2">
      <c r="A69" s="118"/>
      <c r="B69" s="118" t="str">
        <f t="shared" si="17"/>
        <v>monthly</v>
      </c>
      <c r="C69" s="118" t="str">
        <f t="shared" si="18"/>
        <v/>
      </c>
      <c r="D69" s="118" t="s">
        <v>78</v>
      </c>
      <c r="E69" s="118" t="str">
        <f t="shared" si="12"/>
        <v/>
      </c>
      <c r="F69" s="163"/>
      <c r="G69" s="163"/>
      <c r="H69" s="163">
        <f t="shared" si="19"/>
        <v>0</v>
      </c>
      <c r="I69" s="163"/>
      <c r="J69" s="167">
        <f t="shared" si="20"/>
        <v>0</v>
      </c>
      <c r="K69" s="163">
        <f t="shared" si="24"/>
        <v>0</v>
      </c>
      <c r="L69" s="163" t="e">
        <f t="shared" si="25"/>
        <v>#VALUE!</v>
      </c>
      <c r="M69" s="168">
        <f>COUNTIF(T69,"&gt;0")</f>
        <v>0</v>
      </c>
      <c r="N69" s="168">
        <f t="shared" si="23"/>
        <v>0</v>
      </c>
      <c r="O69" s="255"/>
      <c r="P69" s="255"/>
      <c r="Q69" s="255"/>
      <c r="R69" s="255"/>
      <c r="S69" s="255"/>
      <c r="T69" s="244"/>
      <c r="U69" s="244"/>
      <c r="V69" s="240" t="s">
        <v>71</v>
      </c>
      <c r="W69" s="240"/>
      <c r="X69" s="41"/>
      <c r="Y69" s="76"/>
      <c r="Z69" s="88"/>
      <c r="AA69" s="58"/>
      <c r="AB69" s="58"/>
      <c r="AC69" s="58"/>
      <c r="AD69" s="58"/>
      <c r="AE69" s="58"/>
      <c r="AF69" s="58"/>
      <c r="AG69" s="58"/>
      <c r="AH69" s="343"/>
      <c r="AI69" s="55"/>
      <c r="AJ69" s="6"/>
      <c r="AK69" s="6"/>
      <c r="AL69" s="6"/>
      <c r="AM69" s="6"/>
      <c r="AN69" s="6"/>
      <c r="AO69" s="6"/>
      <c r="AP69" s="6"/>
      <c r="AQ69" s="6"/>
      <c r="AR69" s="8"/>
      <c r="AS69" s="8"/>
      <c r="AT69" s="8"/>
      <c r="AU69" s="8"/>
      <c r="AV69" s="8"/>
      <c r="AW69" s="8"/>
      <c r="AX69" s="8"/>
      <c r="AY69" s="8"/>
      <c r="AZ69" s="8"/>
      <c r="BA69" s="8"/>
      <c r="BB69" s="8"/>
      <c r="BC69" s="8"/>
      <c r="BD69" s="8"/>
      <c r="BE69" s="8"/>
      <c r="BF69" s="8"/>
      <c r="BG69" s="8"/>
      <c r="BH69" s="8"/>
      <c r="BI69" s="8"/>
    </row>
    <row r="70" spans="1:61" s="7" customFormat="1" ht="17.25" customHeight="1" x14ac:dyDescent="0.2">
      <c r="A70" s="118"/>
      <c r="B70" s="118"/>
      <c r="C70" s="118"/>
      <c r="D70" s="118"/>
      <c r="E70" s="118"/>
      <c r="F70" s="163"/>
      <c r="G70" s="163"/>
      <c r="H70" s="163">
        <f>SUM(H61:H69)</f>
        <v>0</v>
      </c>
      <c r="I70" s="163" t="s">
        <v>259</v>
      </c>
      <c r="J70" s="167">
        <f>SUM(J61:J69)</f>
        <v>0</v>
      </c>
      <c r="K70" s="163" t="s">
        <v>258</v>
      </c>
      <c r="L70" s="167"/>
      <c r="M70" s="168">
        <f>SUM(M61:M69)</f>
        <v>0</v>
      </c>
      <c r="N70" s="168"/>
      <c r="O70" s="264" t="str">
        <f>IF(T12="On", IF(M70=0, "UTILITIES TOTAL", IF(AND(M70&gt;0,T37&lt;=0), "UTILITIES TOTAL", IF((T70/T37)&gt;0.05, "Your UTILITIES TOTAL of", "UTILITIES TOTAL"))), "UTILITIES TOTAL")</f>
        <v>UTILITIES TOTAL</v>
      </c>
      <c r="P70" s="264"/>
      <c r="Q70" s="264"/>
      <c r="R70" s="264"/>
      <c r="S70" s="264"/>
      <c r="T70" s="275">
        <f>SUM(N61:N69)</f>
        <v>0</v>
      </c>
      <c r="U70" s="275"/>
      <c r="V70" s="32" t="e">
        <f>IF(T12="On", T70/T37, "")</f>
        <v>#DIV/0!</v>
      </c>
      <c r="W70" s="282" t="str">
        <f>IF(T12="On", IF(M70=0, "", IF(AND(M70&gt;0,T37&lt;=0), "", IF((T70/T37)&gt;1, " is greater than your income", IF((T70/T37)&gt;0.05, " is greater than 5% of your income",  "")))), "")</f>
        <v/>
      </c>
      <c r="X70" s="282"/>
      <c r="Y70" s="76"/>
      <c r="Z70" s="86"/>
      <c r="AA70" s="38"/>
      <c r="AB70" s="38"/>
      <c r="AC70" s="38"/>
      <c r="AD70" s="38"/>
      <c r="AE70" s="38"/>
      <c r="AF70" s="38"/>
      <c r="AG70" s="38"/>
      <c r="AH70" s="343"/>
      <c r="AI70" s="50"/>
      <c r="AJ70" s="6"/>
      <c r="AK70" s="6"/>
      <c r="AL70" s="6"/>
      <c r="AM70" s="6"/>
      <c r="AN70" s="6"/>
      <c r="AO70" s="6"/>
      <c r="AP70" s="6"/>
      <c r="AQ70" s="6"/>
      <c r="AR70" s="8"/>
      <c r="AS70" s="8"/>
      <c r="AT70" s="8"/>
      <c r="AU70" s="8"/>
      <c r="AV70" s="8"/>
      <c r="AW70" s="8"/>
      <c r="AX70" s="8"/>
      <c r="AY70" s="8"/>
      <c r="AZ70" s="8"/>
      <c r="BA70" s="8"/>
      <c r="BB70" s="8"/>
      <c r="BC70" s="8"/>
      <c r="BD70" s="8"/>
      <c r="BE70" s="8"/>
      <c r="BF70" s="8"/>
      <c r="BG70" s="8"/>
      <c r="BH70" s="8"/>
      <c r="BI70" s="8"/>
    </row>
    <row r="71" spans="1:61" s="7" customFormat="1" ht="32.1" customHeight="1" x14ac:dyDescent="0.2">
      <c r="A71" s="118"/>
      <c r="B71" s="118"/>
      <c r="C71" s="118"/>
      <c r="D71" s="118"/>
      <c r="E71" s="118"/>
      <c r="F71" s="163"/>
      <c r="G71" s="163"/>
      <c r="H71" s="163"/>
      <c r="I71" s="169"/>
      <c r="J71" s="163"/>
      <c r="K71" s="163"/>
      <c r="L71" s="163"/>
      <c r="M71" s="168"/>
      <c r="N71" s="168"/>
      <c r="O71" s="246" t="str">
        <f>IF(T12="On", IF(M70=0, "", IF(AND(M70&gt;0,T37&lt;=0), "Please enter your income in the green highlighted area above. You can't have a budget without income to budget.", IF((T70/T37)&gt;1, "Wow, are you sure you spend that much on utilities?", IF((T70/T37)&gt;0.05, "It's generally not a good idea to let utility costs exceed 5% of your budget.", "")))), "")</f>
        <v/>
      </c>
      <c r="P71" s="246"/>
      <c r="Q71" s="246"/>
      <c r="R71" s="246"/>
      <c r="S71" s="246"/>
      <c r="T71" s="246"/>
      <c r="U71" s="246"/>
      <c r="V71" s="246"/>
      <c r="W71" s="246"/>
      <c r="X71" s="246"/>
      <c r="Y71" s="76"/>
      <c r="Z71" s="76"/>
      <c r="AA71" s="38"/>
      <c r="AB71" s="38"/>
      <c r="AC71" s="38"/>
      <c r="AD71" s="38"/>
      <c r="AE71" s="38"/>
      <c r="AF71" s="38"/>
      <c r="AG71" s="38"/>
      <c r="AH71" s="51" t="str">
        <f>L246</f>
        <v/>
      </c>
      <c r="AI71" s="56"/>
      <c r="AJ71" s="6"/>
      <c r="AK71" s="6"/>
      <c r="AL71" s="6"/>
      <c r="AM71" s="6"/>
      <c r="AN71" s="6"/>
      <c r="AO71" s="6"/>
      <c r="AP71" s="6"/>
      <c r="AQ71" s="6"/>
      <c r="AR71" s="8"/>
      <c r="AS71" s="8"/>
      <c r="AT71" s="8"/>
      <c r="AU71" s="8"/>
      <c r="AV71" s="8"/>
      <c r="AW71" s="8"/>
      <c r="AX71" s="8"/>
      <c r="AY71" s="8"/>
      <c r="AZ71" s="8"/>
      <c r="BA71" s="8"/>
      <c r="BB71" s="8"/>
      <c r="BC71" s="8"/>
      <c r="BD71" s="8"/>
      <c r="BE71" s="8"/>
      <c r="BF71" s="8"/>
      <c r="BG71" s="8"/>
      <c r="BH71" s="8"/>
      <c r="BI71" s="8"/>
    </row>
    <row r="72" spans="1:61" s="11" customFormat="1" ht="17.25" customHeight="1" x14ac:dyDescent="0.2">
      <c r="A72" s="188"/>
      <c r="B72" s="118"/>
      <c r="C72" s="118"/>
      <c r="D72" s="118"/>
      <c r="E72" s="118"/>
      <c r="F72" s="169"/>
      <c r="G72" s="169"/>
      <c r="H72" s="169"/>
      <c r="I72" s="164" t="str">
        <f>CONCATENATE(" per month on food expenses. ",IF(T10&gt;0,"However, many find smart ways to spend less.",""))</f>
        <v xml:space="preserve"> per month on food expenses. </v>
      </c>
      <c r="J72" s="169">
        <f>250*T10</f>
        <v>0</v>
      </c>
      <c r="K72" s="164" t="s">
        <v>180</v>
      </c>
      <c r="L72" s="169" t="s">
        <v>82</v>
      </c>
      <c r="M72" s="164" t="s">
        <v>210</v>
      </c>
      <c r="N72" s="180">
        <f>ROUND(T37*0.1,0)</f>
        <v>0</v>
      </c>
      <c r="O72" s="253" t="s">
        <v>173</v>
      </c>
      <c r="P72" s="253"/>
      <c r="Q72" s="253"/>
      <c r="R72" s="253"/>
      <c r="S72" s="253"/>
      <c r="T72" s="253"/>
      <c r="U72" s="253"/>
      <c r="V72" s="253"/>
      <c r="W72" s="253"/>
      <c r="X72" s="253"/>
      <c r="Y72" s="84"/>
      <c r="Z72" s="76"/>
      <c r="AA72" s="38"/>
      <c r="AB72" s="38"/>
      <c r="AC72" s="38"/>
      <c r="AD72" s="38"/>
      <c r="AE72" s="38"/>
      <c r="AF72" s="38"/>
      <c r="AG72" s="38"/>
      <c r="AH72" s="52"/>
      <c r="AI72" s="56"/>
      <c r="AJ72" s="10"/>
      <c r="AK72" s="10"/>
      <c r="AL72" s="10"/>
      <c r="AM72" s="10"/>
      <c r="AN72" s="10"/>
      <c r="AO72" s="10"/>
      <c r="AP72" s="10"/>
      <c r="AQ72" s="10"/>
      <c r="AR72" s="12"/>
      <c r="AS72" s="12"/>
      <c r="AT72" s="12"/>
      <c r="AU72" s="12"/>
      <c r="AV72" s="12"/>
      <c r="AW72" s="12"/>
      <c r="AX72" s="12"/>
      <c r="AY72" s="12"/>
      <c r="AZ72" s="12"/>
      <c r="BA72" s="12"/>
      <c r="BB72" s="12"/>
      <c r="BC72" s="12"/>
      <c r="BD72" s="12"/>
      <c r="BE72" s="12"/>
      <c r="BF72" s="12"/>
      <c r="BG72" s="12"/>
      <c r="BH72" s="12"/>
      <c r="BI72" s="12"/>
    </row>
    <row r="73" spans="1:61" s="11" customFormat="1" ht="46.5" customHeight="1" x14ac:dyDescent="0.2">
      <c r="A73" s="188"/>
      <c r="B73" s="118"/>
      <c r="C73" s="118"/>
      <c r="D73" s="118"/>
      <c r="E73" s="118"/>
      <c r="F73" s="169"/>
      <c r="G73" s="169"/>
      <c r="H73" s="169"/>
      <c r="I73" s="169" t="s">
        <v>81</v>
      </c>
      <c r="J73" s="169" t="e">
        <f>ROUND((J72/T37)*100,0)</f>
        <v>#DIV/0!</v>
      </c>
      <c r="K73" s="169" t="e">
        <f>ROUND((T81/T37)*100,1)</f>
        <v>#DIV/0!</v>
      </c>
      <c r="L73" s="169"/>
      <c r="M73" s="164" t="s">
        <v>209</v>
      </c>
      <c r="N73" s="180">
        <f>ROUND(T37*0.2,0)</f>
        <v>0</v>
      </c>
      <c r="O73" s="260" t="str">
        <f>IF(T12="On", IF(T37=0,"Food expenses should make up 10% - 20% of your budget.", IF(J72&lt;N72, CONCATENATE("Normally, your food expenses should make up 10% - 20% of your income. However, the average Canadian household your size spends $",J72," per month. You should probably use $",J72," as your target."), IF(AND(T37&gt;0,J72&lt;(N73*1.1)),CONCATENATE(M72,M73,N72,L72,N73,K72,J72,I72), IF(AND(T37&gt;0,J72&gt;=(N73*1.1)),CONCATENATE(M72,M74,N72,L74,N73,K74,J72,I74,J74,I73), "Food expenses should make up 10% - 20% of your budget.")))),"")</f>
        <v>Food expenses should make up 10% - 20% of your budget.</v>
      </c>
      <c r="P73" s="260"/>
      <c r="Q73" s="260"/>
      <c r="R73" s="260"/>
      <c r="S73" s="260"/>
      <c r="T73" s="260"/>
      <c r="U73" s="260"/>
      <c r="V73" s="260"/>
      <c r="W73" s="260"/>
      <c r="X73" s="260"/>
      <c r="Y73" s="84"/>
      <c r="Z73" s="76"/>
      <c r="AA73" s="38"/>
      <c r="AB73" s="38"/>
      <c r="AC73" s="38"/>
      <c r="AD73" s="38"/>
      <c r="AE73" s="38"/>
      <c r="AF73" s="38"/>
      <c r="AG73" s="38"/>
      <c r="AH73" s="53" t="str">
        <f>L247</f>
        <v/>
      </c>
      <c r="AI73" s="56"/>
      <c r="AJ73" s="10"/>
      <c r="AK73" s="10"/>
      <c r="AL73" s="10"/>
      <c r="AM73" s="10"/>
      <c r="AN73" s="10"/>
      <c r="AO73" s="10"/>
      <c r="AP73" s="10"/>
      <c r="AQ73" s="10"/>
      <c r="AR73" s="12"/>
      <c r="AS73" s="12"/>
      <c r="AT73" s="12"/>
      <c r="AU73" s="12"/>
      <c r="AV73" s="12"/>
      <c r="AW73" s="12"/>
      <c r="AX73" s="12"/>
      <c r="AY73" s="12"/>
      <c r="AZ73" s="12"/>
      <c r="BA73" s="12"/>
      <c r="BB73" s="12"/>
      <c r="BC73" s="12"/>
      <c r="BD73" s="12"/>
      <c r="BE73" s="12"/>
      <c r="BF73" s="12"/>
      <c r="BG73" s="12"/>
      <c r="BH73" s="12"/>
      <c r="BI73" s="12"/>
    </row>
    <row r="74" spans="1:61" s="11" customFormat="1" ht="29.25" customHeight="1" x14ac:dyDescent="0.2">
      <c r="A74" s="188"/>
      <c r="B74" s="118"/>
      <c r="C74" s="118"/>
      <c r="D74" s="118"/>
      <c r="E74" s="118"/>
      <c r="F74" s="169"/>
      <c r="G74" s="169"/>
      <c r="H74" s="169"/>
      <c r="I74" s="164" t="s">
        <v>213</v>
      </c>
      <c r="J74" s="169">
        <f>T10*200</f>
        <v>0</v>
      </c>
      <c r="K74" s="164" t="s">
        <v>211</v>
      </c>
      <c r="L74" s="169" t="s">
        <v>82</v>
      </c>
      <c r="M74" s="164" t="s">
        <v>212</v>
      </c>
      <c r="N74" s="180"/>
      <c r="O74" s="279" t="s">
        <v>151</v>
      </c>
      <c r="P74" s="279"/>
      <c r="Q74" s="279"/>
      <c r="R74" s="279"/>
      <c r="S74" s="279"/>
      <c r="T74" s="243" t="s">
        <v>80</v>
      </c>
      <c r="U74" s="243"/>
      <c r="V74" s="234" t="s">
        <v>79</v>
      </c>
      <c r="W74" s="234"/>
      <c r="X74" s="133" t="s">
        <v>40</v>
      </c>
      <c r="Y74" s="84"/>
      <c r="Z74" s="76"/>
      <c r="AA74" s="38"/>
      <c r="AB74" s="38"/>
      <c r="AC74" s="38"/>
      <c r="AD74" s="38"/>
      <c r="AE74" s="38"/>
      <c r="AF74" s="38"/>
      <c r="AG74" s="38"/>
      <c r="AH74" s="231" t="str">
        <f>L248</f>
        <v/>
      </c>
      <c r="AI74" s="56"/>
      <c r="AJ74" s="10"/>
      <c r="AK74" s="10"/>
      <c r="AL74" s="10"/>
      <c r="AM74" s="10"/>
      <c r="AN74" s="10"/>
      <c r="AO74" s="10"/>
      <c r="AP74" s="10"/>
      <c r="AQ74" s="10"/>
      <c r="AR74" s="12"/>
      <c r="AS74" s="12"/>
      <c r="AT74" s="12"/>
      <c r="AU74" s="12"/>
      <c r="AV74" s="12"/>
      <c r="AW74" s="12"/>
      <c r="AX74" s="12"/>
      <c r="AY74" s="12"/>
      <c r="AZ74" s="12"/>
      <c r="BA74" s="12"/>
      <c r="BB74" s="12"/>
      <c r="BC74" s="12"/>
      <c r="BD74" s="12"/>
      <c r="BE74" s="12"/>
      <c r="BF74" s="12"/>
      <c r="BG74" s="12"/>
      <c r="BH74" s="12"/>
      <c r="BI74" s="12"/>
    </row>
    <row r="75" spans="1:61" s="7" customFormat="1" x14ac:dyDescent="0.2">
      <c r="A75" s="118"/>
      <c r="B75" s="118" t="str">
        <f t="shared" ref="B75:B80" si="26">V75</f>
        <v>monthly</v>
      </c>
      <c r="C75" s="118" t="str">
        <f t="shared" ref="C75:C80" si="27">IF(T75="", "", IF(B75="weekly", T75*52, IF(B75="bi-weekly", T75*26, IF(B75="semi-monthly", T75*24, IF(B75="monthly", T75*12, IF(B75="every 2 months", T75*6, IF(B75="every 3 months", T75*4, IF(B75="quarterly", T75*4, IF(B75="every 4 months", T75*3, IF(B75="every 6 months", T75*2, IF(B75="every 8 months", T75*1.5, IF(B75="every 10 months", T75*1.2, IF(B75="annually", T75, 0)))))))))))))</f>
        <v/>
      </c>
      <c r="D75" s="118" t="s">
        <v>78</v>
      </c>
      <c r="E75" s="118" t="str">
        <f t="shared" si="12"/>
        <v/>
      </c>
      <c r="F75" s="163"/>
      <c r="G75" s="163"/>
      <c r="H75" s="163" t="s">
        <v>14</v>
      </c>
      <c r="I75" s="163" t="s">
        <v>55</v>
      </c>
      <c r="J75" s="163" t="e">
        <f>ROUND((J74/T37)*100,0)</f>
        <v>#DIV/0!</v>
      </c>
      <c r="K75" s="169">
        <v>250</v>
      </c>
      <c r="L75" s="169" t="s">
        <v>69</v>
      </c>
      <c r="M75" s="168">
        <f>COUNTIF(T75,"&gt;0")</f>
        <v>0</v>
      </c>
      <c r="N75" s="168">
        <f>IF(V75="weekly",(T75*52)/12,IF(V75="bi-weekly",(T75*26)/12,IF(V75="semi-monthly",(T75*24)/12,IF(V75="monthly",T75,IF(V75="quarterly",T75/3,IF(V75="annually",T75/12,T75))))))</f>
        <v>0</v>
      </c>
      <c r="O75" s="255" t="s">
        <v>14</v>
      </c>
      <c r="P75" s="255"/>
      <c r="Q75" s="255"/>
      <c r="R75" s="255"/>
      <c r="S75" s="255"/>
      <c r="T75" s="239"/>
      <c r="U75" s="239"/>
      <c r="V75" s="240" t="s">
        <v>71</v>
      </c>
      <c r="W75" s="240"/>
      <c r="X75" s="41" t="str">
        <f>IF(AND(M81&lt;2,OR(T75&gt;0,T76&gt;0,T77&gt;0,M70&gt;0,M96&gt;0)),"&lt;&lt; Think about how you buy", "")</f>
        <v/>
      </c>
      <c r="Y75" s="76"/>
      <c r="Z75" s="76"/>
      <c r="AA75" s="38"/>
      <c r="AB75" s="38"/>
      <c r="AC75" s="38"/>
      <c r="AD75" s="38"/>
      <c r="AE75" s="38"/>
      <c r="AF75" s="38"/>
      <c r="AG75" s="38"/>
      <c r="AH75" s="232"/>
      <c r="AI75" s="56"/>
      <c r="AJ75" s="6"/>
      <c r="AK75" s="6"/>
      <c r="AL75" s="6"/>
      <c r="AM75" s="6"/>
      <c r="AN75" s="6"/>
      <c r="AO75" s="6"/>
      <c r="AP75" s="6"/>
      <c r="AQ75" s="6"/>
      <c r="AR75" s="8"/>
      <c r="AS75" s="8"/>
      <c r="AT75" s="8"/>
      <c r="AU75" s="8"/>
      <c r="AV75" s="8"/>
      <c r="AW75" s="8"/>
      <c r="AX75" s="8"/>
      <c r="AY75" s="8"/>
      <c r="AZ75" s="8"/>
      <c r="BA75" s="8"/>
      <c r="BB75" s="8"/>
      <c r="BC75" s="8"/>
      <c r="BD75" s="8"/>
      <c r="BE75" s="8"/>
      <c r="BF75" s="8"/>
      <c r="BG75" s="8"/>
      <c r="BH75" s="8"/>
      <c r="BI75" s="8"/>
    </row>
    <row r="76" spans="1:61" s="7" customFormat="1" x14ac:dyDescent="0.2">
      <c r="A76" s="118"/>
      <c r="B76" s="118" t="str">
        <f t="shared" si="26"/>
        <v>monthly</v>
      </c>
      <c r="C76" s="118" t="str">
        <f t="shared" si="27"/>
        <v/>
      </c>
      <c r="D76" s="118" t="s">
        <v>78</v>
      </c>
      <c r="E76" s="118" t="str">
        <f t="shared" si="12"/>
        <v/>
      </c>
      <c r="F76" s="163"/>
      <c r="G76" s="163"/>
      <c r="H76" s="163" t="s">
        <v>391</v>
      </c>
      <c r="I76" s="163" t="s">
        <v>42</v>
      </c>
      <c r="J76" s="163"/>
      <c r="K76" s="163"/>
      <c r="L76" s="163"/>
      <c r="M76" s="168">
        <f t="shared" ref="M76:M80" si="28">COUNTIF(T76,"&gt;0")</f>
        <v>0</v>
      </c>
      <c r="N76" s="168">
        <f t="shared" ref="N76:N80" si="29">IF(V76="weekly",(T76*52)/12,IF(V76="bi-weekly",(T76*26)/12,IF(V76="semi-monthly",(T76*24)/12,IF(V76="monthly",T76,IF(V76="quarterly",T76/3,IF(V76="annually",T76/12,T76))))))</f>
        <v>0</v>
      </c>
      <c r="O76" s="235" t="s">
        <v>391</v>
      </c>
      <c r="P76" s="235"/>
      <c r="Q76" s="235"/>
      <c r="R76" s="235"/>
      <c r="S76" s="235"/>
      <c r="T76" s="271"/>
      <c r="U76" s="271"/>
      <c r="V76" s="238" t="s">
        <v>71</v>
      </c>
      <c r="W76" s="238"/>
      <c r="X76" s="43" t="str">
        <f>IF(AND(M81&lt;2,OR(T75&gt;0,T76&gt;0,T77&gt;0,M70&gt;0,M96&gt;0)),"     your groceries, paper and", "")</f>
        <v/>
      </c>
      <c r="Y76" s="86"/>
      <c r="Z76" s="76"/>
      <c r="AA76" s="38"/>
      <c r="AB76" s="38"/>
      <c r="AC76" s="38"/>
      <c r="AD76" s="38"/>
      <c r="AE76" s="38"/>
      <c r="AF76" s="38"/>
      <c r="AG76" s="38"/>
      <c r="AH76" s="52"/>
      <c r="AI76" s="56"/>
      <c r="AJ76" s="6"/>
      <c r="AK76" s="6"/>
      <c r="AL76" s="6"/>
      <c r="AM76" s="6"/>
      <c r="AN76" s="6"/>
      <c r="AO76" s="6"/>
      <c r="AP76" s="6"/>
      <c r="AQ76" s="6"/>
      <c r="AR76" s="8"/>
      <c r="AS76" s="8"/>
      <c r="AT76" s="8"/>
      <c r="AU76" s="8"/>
      <c r="AV76" s="8"/>
      <c r="AW76" s="8"/>
      <c r="AX76" s="8"/>
      <c r="AY76" s="8"/>
      <c r="AZ76" s="8"/>
      <c r="BA76" s="8"/>
      <c r="BB76" s="8"/>
      <c r="BC76" s="8"/>
      <c r="BD76" s="8"/>
      <c r="BE76" s="8"/>
      <c r="BF76" s="8"/>
      <c r="BG76" s="8"/>
      <c r="BH76" s="8"/>
      <c r="BI76" s="8"/>
    </row>
    <row r="77" spans="1:61" s="7" customFormat="1" x14ac:dyDescent="0.2">
      <c r="A77" s="118"/>
      <c r="B77" s="118" t="str">
        <f t="shared" si="26"/>
        <v>monthly</v>
      </c>
      <c r="C77" s="118" t="str">
        <f t="shared" si="27"/>
        <v/>
      </c>
      <c r="D77" s="118" t="s">
        <v>78</v>
      </c>
      <c r="E77" s="118" t="str">
        <f t="shared" si="12"/>
        <v/>
      </c>
      <c r="F77" s="163"/>
      <c r="G77" s="163"/>
      <c r="H77" s="163" t="s">
        <v>390</v>
      </c>
      <c r="I77" s="163" t="s">
        <v>66</v>
      </c>
      <c r="J77" s="163" t="s">
        <v>74</v>
      </c>
      <c r="K77" s="163"/>
      <c r="L77" s="163"/>
      <c r="M77" s="168">
        <f t="shared" si="28"/>
        <v>0</v>
      </c>
      <c r="N77" s="168">
        <f t="shared" si="29"/>
        <v>0</v>
      </c>
      <c r="O77" s="255" t="s">
        <v>390</v>
      </c>
      <c r="P77" s="255"/>
      <c r="Q77" s="255"/>
      <c r="R77" s="255"/>
      <c r="S77" s="255"/>
      <c r="T77" s="239"/>
      <c r="U77" s="239"/>
      <c r="V77" s="240" t="s">
        <v>71</v>
      </c>
      <c r="W77" s="240"/>
      <c r="X77" s="41" t="str">
        <f>IF(AND(M81&lt;2,OR(T75&gt;0,T76&gt;0,T77&gt;0,M70&gt;0,M96&gt;0)),"     cleaning products, produce,", "")</f>
        <v/>
      </c>
      <c r="Y77" s="86"/>
      <c r="Z77" s="86"/>
      <c r="AA77" s="38"/>
      <c r="AB77" s="38"/>
      <c r="AC77" s="38"/>
      <c r="AD77" s="38"/>
      <c r="AE77" s="38"/>
      <c r="AF77" s="38"/>
      <c r="AG77" s="38"/>
      <c r="AH77" s="231" t="str">
        <f>L249</f>
        <v/>
      </c>
      <c r="AI77" s="56"/>
      <c r="AJ77" s="6"/>
      <c r="AK77" s="6"/>
      <c r="AL77" s="6"/>
      <c r="AM77" s="6"/>
      <c r="AN77" s="6"/>
      <c r="AO77" s="6"/>
      <c r="AP77" s="6"/>
      <c r="AQ77" s="6"/>
      <c r="AR77" s="8"/>
      <c r="AS77" s="8"/>
      <c r="AT77" s="8"/>
      <c r="AU77" s="8"/>
      <c r="AV77" s="8"/>
      <c r="AW77" s="8"/>
      <c r="AX77" s="8"/>
      <c r="AY77" s="8"/>
      <c r="AZ77" s="8"/>
      <c r="BA77" s="8"/>
      <c r="BB77" s="8"/>
      <c r="BC77" s="8"/>
      <c r="BD77" s="8"/>
      <c r="BE77" s="8"/>
      <c r="BF77" s="8"/>
      <c r="BG77" s="8"/>
      <c r="BH77" s="8"/>
      <c r="BI77" s="8"/>
    </row>
    <row r="78" spans="1:61" s="7" customFormat="1" x14ac:dyDescent="0.2">
      <c r="A78" s="118"/>
      <c r="B78" s="118" t="str">
        <f t="shared" si="26"/>
        <v>weekly</v>
      </c>
      <c r="C78" s="118" t="str">
        <f t="shared" si="27"/>
        <v/>
      </c>
      <c r="D78" s="118" t="s">
        <v>78</v>
      </c>
      <c r="E78" s="118" t="str">
        <f t="shared" si="12"/>
        <v/>
      </c>
      <c r="F78" s="163"/>
      <c r="G78" s="163"/>
      <c r="H78" s="118" t="s">
        <v>87</v>
      </c>
      <c r="I78" s="163"/>
      <c r="J78" s="163" t="s">
        <v>72</v>
      </c>
      <c r="K78" s="163"/>
      <c r="L78" s="163"/>
      <c r="M78" s="168">
        <f t="shared" si="28"/>
        <v>0</v>
      </c>
      <c r="N78" s="168">
        <f t="shared" si="29"/>
        <v>0</v>
      </c>
      <c r="O78" s="235" t="s">
        <v>87</v>
      </c>
      <c r="P78" s="235"/>
      <c r="Q78" s="235"/>
      <c r="R78" s="235"/>
      <c r="S78" s="235"/>
      <c r="T78" s="271"/>
      <c r="U78" s="271"/>
      <c r="V78" s="238" t="s">
        <v>74</v>
      </c>
      <c r="W78" s="238"/>
      <c r="X78" s="43" t="str">
        <f>IF(AND(M81&lt;2,OR(T75&gt;0,T76&gt;0,T77&gt;0,M70&gt;0,M96&gt;0)),"     meat, and snacks", "")</f>
        <v/>
      </c>
      <c r="Y78" s="86"/>
      <c r="Z78" s="86"/>
      <c r="AA78" s="38"/>
      <c r="AB78" s="38"/>
      <c r="AC78" s="38"/>
      <c r="AD78" s="38"/>
      <c r="AE78" s="38"/>
      <c r="AF78" s="38"/>
      <c r="AG78" s="38"/>
      <c r="AH78" s="232"/>
      <c r="AI78" s="56"/>
      <c r="AJ78" s="6"/>
      <c r="AK78" s="6"/>
      <c r="AL78" s="6"/>
      <c r="AM78" s="6"/>
      <c r="AN78" s="6"/>
      <c r="AO78" s="6"/>
      <c r="AP78" s="6"/>
      <c r="AQ78" s="6"/>
      <c r="AR78" s="8"/>
      <c r="AS78" s="8"/>
      <c r="AT78" s="8"/>
      <c r="AU78" s="8"/>
      <c r="AV78" s="8"/>
      <c r="AW78" s="8"/>
      <c r="AX78" s="8"/>
      <c r="AY78" s="8"/>
      <c r="AZ78" s="8"/>
      <c r="BA78" s="8"/>
      <c r="BB78" s="8"/>
      <c r="BC78" s="8"/>
      <c r="BD78" s="8"/>
      <c r="BE78" s="8"/>
      <c r="BF78" s="8"/>
      <c r="BG78" s="8"/>
      <c r="BH78" s="8"/>
      <c r="BI78" s="8"/>
    </row>
    <row r="79" spans="1:61" s="7" customFormat="1" x14ac:dyDescent="0.2">
      <c r="A79" s="118"/>
      <c r="B79" s="118" t="str">
        <f t="shared" si="26"/>
        <v>monthly</v>
      </c>
      <c r="C79" s="118" t="str">
        <f t="shared" si="27"/>
        <v/>
      </c>
      <c r="D79" s="118" t="s">
        <v>78</v>
      </c>
      <c r="E79" s="118" t="str">
        <f t="shared" si="12"/>
        <v/>
      </c>
      <c r="F79" s="163"/>
      <c r="G79" s="163"/>
      <c r="H79" s="163" t="s">
        <v>88</v>
      </c>
      <c r="I79" s="163"/>
      <c r="J79" s="163" t="s">
        <v>73</v>
      </c>
      <c r="K79" s="163"/>
      <c r="L79" s="163"/>
      <c r="M79" s="168">
        <f t="shared" si="28"/>
        <v>0</v>
      </c>
      <c r="N79" s="168">
        <f t="shared" si="29"/>
        <v>0</v>
      </c>
      <c r="O79" s="255" t="s">
        <v>88</v>
      </c>
      <c r="P79" s="255"/>
      <c r="Q79" s="255"/>
      <c r="R79" s="255"/>
      <c r="S79" s="255"/>
      <c r="T79" s="239"/>
      <c r="U79" s="239"/>
      <c r="V79" s="240" t="s">
        <v>71</v>
      </c>
      <c r="W79" s="240"/>
      <c r="X79" s="41"/>
      <c r="Y79" s="86"/>
      <c r="Z79" s="86"/>
      <c r="AA79" s="38"/>
      <c r="AB79" s="38"/>
      <c r="AC79" s="38"/>
      <c r="AD79" s="38"/>
      <c r="AE79" s="38"/>
      <c r="AF79" s="38"/>
      <c r="AG79" s="38"/>
      <c r="AH79" s="52"/>
      <c r="AI79" s="56"/>
      <c r="AJ79" s="6"/>
      <c r="AK79" s="6"/>
      <c r="AL79" s="6"/>
      <c r="AM79" s="6"/>
      <c r="AN79" s="6"/>
      <c r="AO79" s="6"/>
      <c r="AP79" s="6"/>
      <c r="AQ79" s="6"/>
      <c r="AR79" s="8"/>
      <c r="AS79" s="8"/>
      <c r="AT79" s="8"/>
      <c r="AU79" s="8"/>
      <c r="AV79" s="8"/>
      <c r="AW79" s="8"/>
      <c r="AX79" s="8"/>
      <c r="AY79" s="8"/>
      <c r="AZ79" s="8"/>
      <c r="BA79" s="8"/>
      <c r="BB79" s="8"/>
      <c r="BC79" s="8"/>
      <c r="BD79" s="8"/>
      <c r="BE79" s="8"/>
      <c r="BF79" s="8"/>
      <c r="BG79" s="8"/>
      <c r="BH79" s="8"/>
      <c r="BI79" s="8"/>
    </row>
    <row r="80" spans="1:61" s="7" customFormat="1" x14ac:dyDescent="0.2">
      <c r="A80" s="118"/>
      <c r="B80" s="118" t="str">
        <f t="shared" si="26"/>
        <v>monthly</v>
      </c>
      <c r="C80" s="118" t="str">
        <f t="shared" si="27"/>
        <v/>
      </c>
      <c r="D80" s="118" t="s">
        <v>78</v>
      </c>
      <c r="E80" s="118" t="str">
        <f t="shared" si="12"/>
        <v/>
      </c>
      <c r="F80" s="163"/>
      <c r="G80" s="163"/>
      <c r="H80" s="163"/>
      <c r="I80" s="163" t="s">
        <v>55</v>
      </c>
      <c r="J80" s="163" t="s">
        <v>71</v>
      </c>
      <c r="K80" s="163"/>
      <c r="L80" s="163"/>
      <c r="M80" s="168">
        <f t="shared" si="28"/>
        <v>0</v>
      </c>
      <c r="N80" s="168">
        <f t="shared" si="29"/>
        <v>0</v>
      </c>
      <c r="O80" s="278"/>
      <c r="P80" s="278"/>
      <c r="Q80" s="278"/>
      <c r="R80" s="278"/>
      <c r="S80" s="278"/>
      <c r="T80" s="245"/>
      <c r="U80" s="245"/>
      <c r="V80" s="238" t="s">
        <v>71</v>
      </c>
      <c r="W80" s="238"/>
      <c r="X80" s="42"/>
      <c r="Y80" s="86"/>
      <c r="Z80" s="86"/>
      <c r="AA80" s="38"/>
      <c r="AB80" s="38"/>
      <c r="AC80" s="38"/>
      <c r="AD80" s="38"/>
      <c r="AE80" s="38"/>
      <c r="AF80" s="38"/>
      <c r="AG80" s="38"/>
      <c r="AH80" s="52"/>
      <c r="AI80" s="56"/>
      <c r="AJ80" s="6"/>
      <c r="AK80" s="6"/>
      <c r="AL80" s="6"/>
      <c r="AM80" s="6"/>
      <c r="AN80" s="6"/>
      <c r="AO80" s="6"/>
      <c r="AP80" s="6"/>
      <c r="AQ80" s="6"/>
      <c r="AR80" s="8"/>
      <c r="AS80" s="8"/>
      <c r="AT80" s="8"/>
      <c r="AU80" s="8"/>
      <c r="AV80" s="8"/>
      <c r="AW80" s="8"/>
      <c r="AX80" s="8"/>
      <c r="AY80" s="8"/>
      <c r="AZ80" s="8"/>
      <c r="BA80" s="8"/>
      <c r="BB80" s="8"/>
      <c r="BC80" s="8"/>
      <c r="BD80" s="8"/>
      <c r="BE80" s="8"/>
      <c r="BF80" s="8"/>
      <c r="BG80" s="8"/>
      <c r="BH80" s="8"/>
      <c r="BI80" s="8"/>
    </row>
    <row r="81" spans="1:61" s="7" customFormat="1" ht="17.25" customHeight="1" x14ac:dyDescent="0.2">
      <c r="A81" s="118"/>
      <c r="B81" s="118"/>
      <c r="C81" s="118"/>
      <c r="D81" s="118"/>
      <c r="E81" s="118"/>
      <c r="F81" s="163"/>
      <c r="G81" s="163"/>
      <c r="H81" s="163"/>
      <c r="I81" s="163" t="s">
        <v>162</v>
      </c>
      <c r="J81" s="163" t="s">
        <v>76</v>
      </c>
      <c r="K81" s="163"/>
      <c r="L81" s="163"/>
      <c r="M81" s="168">
        <f>SUM(M75:M80)</f>
        <v>0</v>
      </c>
      <c r="N81" s="168"/>
      <c r="O81" s="264" t="str">
        <f>IF(T12="On", IF(AND(M81&gt;0,T37&lt;=0), "FOOD TOTAL", IF(M81=0, "FOOD TOTAL", IF((T81/T37)&gt;0.2, "Your FOOD TOTAL of", "FOOD TOTAL"))), "FOOD TOTAL")</f>
        <v>FOOD TOTAL</v>
      </c>
      <c r="P81" s="264"/>
      <c r="Q81" s="264"/>
      <c r="R81" s="264"/>
      <c r="S81" s="264"/>
      <c r="T81" s="275">
        <f>SUM(N75:N80)</f>
        <v>0</v>
      </c>
      <c r="U81" s="275"/>
      <c r="V81" s="32" t="e">
        <f>IF(T12="On", T81/T37, "")</f>
        <v>#DIV/0!</v>
      </c>
      <c r="W81" s="282" t="str">
        <f>IF(T12="On", IF(M81=0, "", IF(AND(M81&gt;0,T37&lt;=0), "", IF((T81/T37)&gt;1, " is greater than your income", IF(K73&gt;20, " is greater than 20% of your income",  "")))), "")</f>
        <v/>
      </c>
      <c r="X81" s="282"/>
      <c r="Y81" s="86"/>
      <c r="Z81" s="86"/>
      <c r="AA81" s="38"/>
      <c r="AB81" s="38"/>
      <c r="AC81" s="38"/>
      <c r="AD81" s="38"/>
      <c r="AE81" s="38"/>
      <c r="AF81" s="38"/>
      <c r="AG81" s="38"/>
      <c r="AH81" s="53" t="str">
        <f>L250</f>
        <v/>
      </c>
      <c r="AI81" s="56"/>
      <c r="AJ81" s="6"/>
      <c r="AK81" s="6"/>
      <c r="AL81" s="6"/>
      <c r="AM81" s="6"/>
      <c r="AN81" s="6"/>
      <c r="AO81" s="6"/>
      <c r="AP81" s="6"/>
      <c r="AQ81" s="6"/>
      <c r="AR81" s="8"/>
      <c r="AS81" s="8"/>
      <c r="AT81" s="8"/>
      <c r="AU81" s="8"/>
      <c r="AV81" s="8"/>
      <c r="AW81" s="8"/>
      <c r="AX81" s="8"/>
      <c r="AY81" s="8"/>
      <c r="AZ81" s="8"/>
      <c r="BA81" s="8"/>
      <c r="BB81" s="8"/>
      <c r="BC81" s="8"/>
      <c r="BD81" s="8"/>
      <c r="BE81" s="8"/>
      <c r="BF81" s="8"/>
      <c r="BG81" s="8"/>
      <c r="BH81" s="8"/>
      <c r="BI81" s="8"/>
    </row>
    <row r="82" spans="1:61" s="7" customFormat="1" ht="41.25" customHeight="1" x14ac:dyDescent="0.2">
      <c r="A82" s="118"/>
      <c r="B82" s="118"/>
      <c r="C82" s="118"/>
      <c r="D82" s="118"/>
      <c r="E82" s="118"/>
      <c r="F82" s="163"/>
      <c r="G82" s="163"/>
      <c r="H82" s="163"/>
      <c r="I82" s="163" t="s">
        <v>163</v>
      </c>
      <c r="J82" s="163" t="s">
        <v>78</v>
      </c>
      <c r="K82" s="163"/>
      <c r="L82" s="168"/>
      <c r="M82" s="193" t="s">
        <v>215</v>
      </c>
      <c r="N82" s="160" t="s">
        <v>214</v>
      </c>
      <c r="O82" s="246" t="str">
        <f>IF(T12="On",IF(M81=0,"",IF(AND(M81&gt;0,T37&lt;=0),"Please enter your income in the green highlighted area near the top of this worksheet.",IF((T81/T37)&gt;1,"Wow that's a lot! Are you sure you need to spend this much? Check your numbers.",IF(AND(K73&gt;20,J73&lt;=20),CONCATENATE("Most people don't need to spend more than 20% of their income on this category. You've allocated ",K73,"%."),IF(AND(K73&gt;20,J73&gt;20),CONCATENATE(N82,K73,M82),IF(AND((T81/T37)&lt;0.1,T81&lt;J74),CONCATENATE("Are you sure you're spending enough on food? This category should make up at least 10% of your budget. You've allocated ",K73,"%.", IF(T81&lt;J74," Based on your household size you should probably spend at least $",""), IF(T81&lt;J74,J74,""), IF(T81&lt;J74," per month.","")), IF(T81&lt;J74,CONCATENATE("Based on your household size you should probably spend at least $",J74," per month on food expenses."),""))))))), "")</f>
        <v/>
      </c>
      <c r="P82" s="246"/>
      <c r="Q82" s="246"/>
      <c r="R82" s="246"/>
      <c r="S82" s="246"/>
      <c r="T82" s="246"/>
      <c r="U82" s="246"/>
      <c r="V82" s="246"/>
      <c r="W82" s="246"/>
      <c r="X82" s="246"/>
      <c r="Y82" s="86"/>
      <c r="Z82" s="86"/>
      <c r="AA82" s="38"/>
      <c r="AB82" s="38"/>
      <c r="AC82" s="38"/>
      <c r="AD82" s="38"/>
      <c r="AE82" s="38"/>
      <c r="AF82" s="38"/>
      <c r="AG82" s="38"/>
      <c r="AH82" s="231" t="str">
        <f>L251</f>
        <v/>
      </c>
      <c r="AI82" s="56"/>
      <c r="AJ82" s="6"/>
      <c r="AK82" s="6"/>
      <c r="AL82" s="6"/>
      <c r="AM82" s="6"/>
      <c r="AN82" s="6"/>
      <c r="AO82" s="6"/>
      <c r="AP82" s="6"/>
      <c r="AQ82" s="6"/>
      <c r="AR82" s="8"/>
      <c r="AS82" s="8"/>
      <c r="AT82" s="8"/>
      <c r="AU82" s="8"/>
      <c r="AV82" s="8"/>
      <c r="AW82" s="8"/>
      <c r="AX82" s="8"/>
      <c r="AY82" s="8"/>
      <c r="AZ82" s="8"/>
      <c r="BA82" s="8"/>
      <c r="BB82" s="8"/>
      <c r="BC82" s="8"/>
      <c r="BD82" s="8"/>
      <c r="BE82" s="8"/>
      <c r="BF82" s="8"/>
      <c r="BG82" s="8"/>
      <c r="BH82" s="8"/>
      <c r="BI82" s="8"/>
    </row>
    <row r="83" spans="1:61" s="11" customFormat="1" ht="17.25" customHeight="1" x14ac:dyDescent="0.2">
      <c r="A83" s="188"/>
      <c r="B83" s="118"/>
      <c r="C83" s="118"/>
      <c r="D83" s="118"/>
      <c r="E83" s="118"/>
      <c r="F83" s="169"/>
      <c r="G83" s="169"/>
      <c r="H83" s="169"/>
      <c r="I83" s="188" t="str">
        <f>IF(OR(T4="First Name", T4=""), CONCATENATE(J85), CONCATENATE(J85,K85,PROPER(T4),K86,L85))</f>
        <v>Fuel</v>
      </c>
      <c r="J83" s="169"/>
      <c r="K83" s="169" t="s">
        <v>81</v>
      </c>
      <c r="L83" s="169" t="s">
        <v>82</v>
      </c>
      <c r="M83" s="192" t="s">
        <v>366</v>
      </c>
      <c r="N83" s="180">
        <f>ROUND(T37*0.15,0)</f>
        <v>0</v>
      </c>
      <c r="O83" s="253" t="s">
        <v>20</v>
      </c>
      <c r="P83" s="253"/>
      <c r="Q83" s="253"/>
      <c r="R83" s="253"/>
      <c r="S83" s="253"/>
      <c r="T83" s="253"/>
      <c r="U83" s="253"/>
      <c r="V83" s="253"/>
      <c r="W83" s="253"/>
      <c r="X83" s="253"/>
      <c r="Y83" s="88"/>
      <c r="Z83" s="88"/>
      <c r="AA83" s="58"/>
      <c r="AB83" s="58"/>
      <c r="AC83" s="58"/>
      <c r="AD83" s="58"/>
      <c r="AE83" s="58"/>
      <c r="AF83" s="58"/>
      <c r="AG83" s="58"/>
      <c r="AH83" s="232"/>
      <c r="AI83" s="59"/>
      <c r="AJ83" s="10"/>
      <c r="AK83" s="10"/>
      <c r="AL83" s="10"/>
      <c r="AM83" s="10"/>
      <c r="AN83" s="10"/>
      <c r="AO83" s="10"/>
      <c r="AP83" s="10"/>
      <c r="AQ83" s="10"/>
      <c r="AR83" s="12"/>
      <c r="AS83" s="12"/>
      <c r="AT83" s="12"/>
      <c r="AU83" s="12"/>
      <c r="AV83" s="12"/>
      <c r="AW83" s="12"/>
      <c r="AX83" s="12"/>
      <c r="AY83" s="12"/>
      <c r="AZ83" s="12"/>
      <c r="BA83" s="12"/>
      <c r="BB83" s="12"/>
      <c r="BC83" s="12"/>
      <c r="BD83" s="12"/>
      <c r="BE83" s="12"/>
      <c r="BF83" s="12"/>
      <c r="BG83" s="12"/>
      <c r="BH83" s="12"/>
      <c r="BI83" s="12"/>
    </row>
    <row r="84" spans="1:61" s="11" customFormat="1" ht="45.75" customHeight="1" x14ac:dyDescent="0.2">
      <c r="A84" s="188"/>
      <c r="B84" s="118"/>
      <c r="C84" s="118"/>
      <c r="D84" s="118"/>
      <c r="E84" s="118"/>
      <c r="F84" s="169"/>
      <c r="G84" s="169" t="s">
        <v>336</v>
      </c>
      <c r="H84" s="169"/>
      <c r="I84" s="188" t="str">
        <f>IF(OR(T6="First Name", T6=""), CONCATENATE(J86,K85,L86), CONCATENATE(J86,K85,PROPER(T6),K86,L85))</f>
        <v>Fuel for Vehicle 2</v>
      </c>
      <c r="J84" s="169"/>
      <c r="K84" s="169" t="e">
        <f>ROUND((T96/T37)*100,1)</f>
        <v>#DIV/0!</v>
      </c>
      <c r="L84" s="169"/>
      <c r="M84" s="192"/>
      <c r="N84" s="180">
        <f>ROUND(T37*0.2,0)</f>
        <v>0</v>
      </c>
      <c r="O84" s="260" t="str">
        <f>IF(T12="On", IF(T37=0, "Transportation expenses should make up 15% - 20% of your budget.", IF(T37&gt;0, CONCATENATE(M83,N83,L83,N84,K83), "Transportation expenses should make up 15% - 20% of your budget.")), "")</f>
        <v>Transportation expenses should make up 15% - 20% of your budget.</v>
      </c>
      <c r="P84" s="260"/>
      <c r="Q84" s="260"/>
      <c r="R84" s="260"/>
      <c r="S84" s="260"/>
      <c r="T84" s="243" t="s">
        <v>80</v>
      </c>
      <c r="U84" s="243"/>
      <c r="V84" s="263" t="s">
        <v>79</v>
      </c>
      <c r="W84" s="263"/>
      <c r="X84" s="133" t="s">
        <v>40</v>
      </c>
      <c r="Y84" s="88"/>
      <c r="Z84" s="88"/>
      <c r="AA84" s="58"/>
      <c r="AB84" s="58"/>
      <c r="AC84" s="58"/>
      <c r="AD84" s="58"/>
      <c r="AE84" s="58"/>
      <c r="AF84" s="58"/>
      <c r="AG84" s="58"/>
      <c r="AH84" s="53" t="str">
        <f>L252</f>
        <v/>
      </c>
      <c r="AI84" s="59"/>
      <c r="AJ84" s="10"/>
      <c r="AK84" s="10"/>
      <c r="AL84" s="10"/>
      <c r="AM84" s="10"/>
      <c r="AN84" s="10"/>
      <c r="AO84" s="10"/>
      <c r="AP84" s="10"/>
      <c r="AQ84" s="10"/>
      <c r="AR84" s="12"/>
      <c r="AS84" s="12"/>
      <c r="AT84" s="12"/>
      <c r="AU84" s="12"/>
      <c r="AV84" s="12"/>
      <c r="AW84" s="12"/>
      <c r="AX84" s="12"/>
      <c r="AY84" s="12"/>
      <c r="AZ84" s="12"/>
      <c r="BA84" s="12"/>
      <c r="BB84" s="12"/>
      <c r="BC84" s="12"/>
      <c r="BD84" s="12"/>
      <c r="BE84" s="12"/>
      <c r="BF84" s="12"/>
      <c r="BG84" s="12"/>
      <c r="BH84" s="12"/>
      <c r="BI84" s="12"/>
    </row>
    <row r="85" spans="1:61" s="7" customFormat="1" x14ac:dyDescent="0.2">
      <c r="A85" s="118"/>
      <c r="B85" s="118" t="str">
        <f t="shared" ref="B85:B95" si="30">V85</f>
        <v>monthly</v>
      </c>
      <c r="C85" s="118" t="str">
        <f t="shared" ref="C85:C93" si="31">IF(T85="", "", IF(B85="weekly", T85*52, IF(B85="bi-weekly", T85*26, IF(B85="semi-monthly", T85*24, IF(B85="monthly", T85*12, IF(B85="every 2 months", T85*6, IF(B85="every 3 months", T85*4, IF(B85="quarterly", T85*4, IF(B85="every 4 months", T85*3, IF(B85="every 6 months", T85*2, IF(B85="every 8 months", T85*1.5, IF(B85="every 10 months", T85*1.2, IF(B85="annually", T85, 0)))))))))))))</f>
        <v/>
      </c>
      <c r="D85" s="118" t="s">
        <v>78</v>
      </c>
      <c r="E85" s="118" t="str">
        <f t="shared" si="12"/>
        <v/>
      </c>
      <c r="F85" s="163"/>
      <c r="G85" s="163">
        <f>COUNTIF(H85,"&gt;0")</f>
        <v>0</v>
      </c>
      <c r="H85" s="168" t="e">
        <f>IF(SEARCH("insurance",O85)&gt;0,T85,"")</f>
        <v>#VALUE!</v>
      </c>
      <c r="I85" s="118" t="str">
        <f>IF(OR(T6="First Name", T6=""), CONCATENATE(J86,K85,L87), CONCATENATE(J86,K85,L88))</f>
        <v>Fuel for Vehicle 3</v>
      </c>
      <c r="J85" s="163" t="s">
        <v>91</v>
      </c>
      <c r="K85" s="163" t="s">
        <v>114</v>
      </c>
      <c r="L85" s="167" t="s">
        <v>116</v>
      </c>
      <c r="M85" s="168">
        <f>COUNTIF(T85,"&gt;0")</f>
        <v>0</v>
      </c>
      <c r="N85" s="168">
        <f>IF(V85="weekly",(T85*52)/12,IF(V85="bi-weekly",(T85*26)/12,IF(V85="semi-monthly",(T85*24)/12,IF(V85="monthly",T85,IF(V85="quarterly",T85/3,IF(V85="annually",T85/12,T85))))))</f>
        <v>0</v>
      </c>
      <c r="O85" s="268" t="s">
        <v>55</v>
      </c>
      <c r="P85" s="268"/>
      <c r="Q85" s="268"/>
      <c r="R85" s="268"/>
      <c r="S85" s="268"/>
      <c r="T85" s="241"/>
      <c r="U85" s="241"/>
      <c r="V85" s="240" t="s">
        <v>71</v>
      </c>
      <c r="W85" s="240"/>
      <c r="X85" s="44" t="str">
        <f>IF(AND(T85&gt;0,M96&lt;3,M108&lt;2,M128&lt;2), "&lt;&lt; Click for more options", "")</f>
        <v/>
      </c>
      <c r="Y85" s="86"/>
      <c r="Z85" s="86"/>
      <c r="AA85" s="38"/>
      <c r="AB85" s="38"/>
      <c r="AC85" s="38"/>
      <c r="AD85" s="38"/>
      <c r="AE85" s="38"/>
      <c r="AF85" s="38"/>
      <c r="AG85" s="38"/>
      <c r="AH85" s="52"/>
      <c r="AI85" s="56"/>
      <c r="AJ85" s="6"/>
      <c r="AK85" s="6"/>
      <c r="AL85" s="6"/>
      <c r="AM85" s="6"/>
      <c r="AN85" s="6"/>
      <c r="AO85" s="6"/>
      <c r="AP85" s="6"/>
      <c r="AQ85" s="6"/>
      <c r="AR85" s="8"/>
      <c r="AS85" s="8"/>
      <c r="AT85" s="8"/>
      <c r="AU85" s="8"/>
      <c r="AV85" s="8"/>
      <c r="AW85" s="8"/>
      <c r="AX85" s="8"/>
      <c r="AY85" s="8"/>
      <c r="AZ85" s="8"/>
      <c r="BA85" s="8"/>
      <c r="BB85" s="8"/>
      <c r="BC85" s="8"/>
      <c r="BD85" s="8"/>
      <c r="BE85" s="8"/>
      <c r="BF85" s="8"/>
      <c r="BG85" s="8"/>
      <c r="BH85" s="8"/>
      <c r="BI85" s="8"/>
    </row>
    <row r="86" spans="1:61" s="7" customFormat="1" x14ac:dyDescent="0.2">
      <c r="A86" s="118"/>
      <c r="B86" s="118" t="str">
        <f t="shared" si="30"/>
        <v>monthly</v>
      </c>
      <c r="C86" s="118" t="str">
        <f t="shared" si="31"/>
        <v/>
      </c>
      <c r="D86" s="118" t="s">
        <v>78</v>
      </c>
      <c r="E86" s="118" t="str">
        <f t="shared" si="12"/>
        <v/>
      </c>
      <c r="F86" s="163"/>
      <c r="G86" s="163">
        <f t="shared" ref="G86:G95" si="32">COUNTIF(H86,"&gt;0")</f>
        <v>0</v>
      </c>
      <c r="H86" s="168" t="e">
        <f t="shared" ref="H86:H95" si="33">IF(SEARCH("insurance",O86)&gt;0,T86,"")</f>
        <v>#VALUE!</v>
      </c>
      <c r="I86" s="118" t="str">
        <f>IF(OR(T4="First Name", T4=""), CONCATENATE(J90,K90), CONCATENATE(J90,K85,PROPER(T4),K86,L85,K90))</f>
        <v>Insurance</v>
      </c>
      <c r="J86" s="163" t="s">
        <v>91</v>
      </c>
      <c r="K86" s="167" t="s">
        <v>101</v>
      </c>
      <c r="L86" s="163" t="s">
        <v>115</v>
      </c>
      <c r="M86" s="168">
        <f>COUNTIF(T86,"&gt;0")</f>
        <v>0</v>
      </c>
      <c r="N86" s="168">
        <f t="shared" ref="N86:N95" si="34">IF(V86="weekly",(T86*52)/12,IF(V86="bi-weekly",(T86*26)/12,IF(V86="semi-monthly",(T86*24)/12,IF(V86="monthly",T86,IF(V86="quarterly",T86/3,IF(V86="annually",T86/12,T86))))))</f>
        <v>0</v>
      </c>
      <c r="O86" s="270" t="s">
        <v>162</v>
      </c>
      <c r="P86" s="270"/>
      <c r="Q86" s="270"/>
      <c r="R86" s="270"/>
      <c r="S86" s="270"/>
      <c r="T86" s="344"/>
      <c r="U86" s="344"/>
      <c r="V86" s="238" t="s">
        <v>71</v>
      </c>
      <c r="W86" s="238"/>
      <c r="X86" s="45"/>
      <c r="Y86" s="86"/>
      <c r="Z86" s="86"/>
      <c r="AA86" s="50"/>
      <c r="AB86" s="50"/>
      <c r="AC86" s="50"/>
      <c r="AD86" s="50"/>
      <c r="AE86" s="50"/>
      <c r="AF86" s="50"/>
      <c r="AG86" s="50"/>
      <c r="AH86" s="50"/>
      <c r="AI86" s="56"/>
      <c r="AJ86" s="6"/>
      <c r="AK86" s="6"/>
      <c r="AL86" s="6"/>
      <c r="AM86" s="6"/>
      <c r="AN86" s="6"/>
      <c r="AO86" s="6"/>
      <c r="AP86" s="6"/>
      <c r="AQ86" s="6"/>
      <c r="AR86" s="8"/>
      <c r="AS86" s="8"/>
      <c r="AT86" s="8"/>
      <c r="AU86" s="8"/>
      <c r="AV86" s="8"/>
      <c r="AW86" s="8"/>
      <c r="AX86" s="8"/>
      <c r="AY86" s="8"/>
      <c r="AZ86" s="8"/>
      <c r="BA86" s="8"/>
      <c r="BB86" s="8"/>
      <c r="BC86" s="8"/>
      <c r="BD86" s="8"/>
      <c r="BE86" s="8"/>
      <c r="BF86" s="8"/>
      <c r="BG86" s="8"/>
      <c r="BH86" s="8"/>
      <c r="BI86" s="8"/>
    </row>
    <row r="87" spans="1:61" s="7" customFormat="1" x14ac:dyDescent="0.2">
      <c r="A87" s="118"/>
      <c r="B87" s="118" t="str">
        <f t="shared" si="30"/>
        <v>monthly</v>
      </c>
      <c r="C87" s="118" t="str">
        <f t="shared" si="31"/>
        <v/>
      </c>
      <c r="D87" s="118" t="s">
        <v>78</v>
      </c>
      <c r="E87" s="118" t="str">
        <f t="shared" si="12"/>
        <v/>
      </c>
      <c r="F87" s="163"/>
      <c r="G87" s="163">
        <f t="shared" si="32"/>
        <v>0</v>
      </c>
      <c r="H87" s="168" t="e">
        <f t="shared" si="33"/>
        <v>#VALUE!</v>
      </c>
      <c r="I87" s="118" t="str">
        <f>IF(OR(T6="First Name", T6=""), CONCATENATE(J90,K85,L86,K90), CONCATENATE(J90,K85,PROPER(T6),K86,L85,K90))</f>
        <v>Insurance for Vehicle 2</v>
      </c>
      <c r="J87" s="163"/>
      <c r="K87" s="167"/>
      <c r="L87" s="163" t="s">
        <v>332</v>
      </c>
      <c r="M87" s="168">
        <f t="shared" ref="M87:M95" si="35">COUNTIF(T87,"&gt;0")</f>
        <v>0</v>
      </c>
      <c r="N87" s="168">
        <f t="shared" si="34"/>
        <v>0</v>
      </c>
      <c r="O87" s="268" t="s">
        <v>91</v>
      </c>
      <c r="P87" s="268"/>
      <c r="Q87" s="268"/>
      <c r="R87" s="268"/>
      <c r="S87" s="268"/>
      <c r="T87" s="242"/>
      <c r="U87" s="242"/>
      <c r="V87" s="240" t="s">
        <v>71</v>
      </c>
      <c r="W87" s="240"/>
      <c r="X87" s="44" t="str">
        <f>IF(AND(T87&gt;0,M96&lt;3,M108&lt;2,M128&lt;2), "&lt;&lt; Click for more options", "")</f>
        <v/>
      </c>
      <c r="Y87" s="86"/>
      <c r="Z87" s="86"/>
      <c r="AA87" s="346" t="s">
        <v>368</v>
      </c>
      <c r="AB87" s="346"/>
      <c r="AC87" s="346"/>
      <c r="AD87" s="346"/>
      <c r="AE87" s="346"/>
      <c r="AF87" s="346"/>
      <c r="AG87" s="346"/>
      <c r="AH87" s="346"/>
      <c r="AI87" s="60"/>
      <c r="AJ87" s="9"/>
      <c r="AK87" s="9"/>
      <c r="AL87" s="9"/>
      <c r="AM87" s="9"/>
      <c r="AN87" s="9"/>
      <c r="AO87" s="9"/>
      <c r="AP87" s="9"/>
      <c r="AQ87" s="6"/>
      <c r="AR87" s="8"/>
      <c r="AS87" s="8"/>
      <c r="AT87" s="8"/>
      <c r="AU87" s="8"/>
      <c r="AV87" s="8"/>
      <c r="AW87" s="8"/>
      <c r="AX87" s="8"/>
      <c r="AY87" s="8"/>
      <c r="AZ87" s="8"/>
      <c r="BA87" s="8"/>
      <c r="BB87" s="8"/>
      <c r="BC87" s="8"/>
      <c r="BD87" s="8"/>
      <c r="BE87" s="8"/>
      <c r="BF87" s="8"/>
      <c r="BG87" s="8"/>
      <c r="BH87" s="8"/>
      <c r="BI87" s="8"/>
    </row>
    <row r="88" spans="1:61" s="7" customFormat="1" x14ac:dyDescent="0.2">
      <c r="A88" s="118"/>
      <c r="B88" s="118" t="str">
        <f t="shared" si="30"/>
        <v>monthly</v>
      </c>
      <c r="C88" s="118" t="str">
        <f t="shared" si="31"/>
        <v/>
      </c>
      <c r="D88" s="118" t="s">
        <v>78</v>
      </c>
      <c r="E88" s="118" t="str">
        <f t="shared" si="12"/>
        <v/>
      </c>
      <c r="F88" s="163"/>
      <c r="G88" s="163">
        <f t="shared" si="32"/>
        <v>0</v>
      </c>
      <c r="H88" s="168">
        <f t="shared" si="33"/>
        <v>0</v>
      </c>
      <c r="I88" s="163" t="str">
        <f>IF(OR(T6="First Name", T6=""), CONCATENATE(J90,K85,L87), CONCATENATE(J90,K85,L88))</f>
        <v>Insurance for Vehicle 3</v>
      </c>
      <c r="J88" s="163"/>
      <c r="K88" s="167"/>
      <c r="L88" s="163" t="s">
        <v>333</v>
      </c>
      <c r="M88" s="168">
        <f t="shared" si="35"/>
        <v>0</v>
      </c>
      <c r="N88" s="168">
        <f t="shared" si="34"/>
        <v>0</v>
      </c>
      <c r="O88" s="270" t="s">
        <v>2</v>
      </c>
      <c r="P88" s="270"/>
      <c r="Q88" s="270"/>
      <c r="R88" s="270"/>
      <c r="S88" s="270"/>
      <c r="T88" s="344"/>
      <c r="U88" s="344"/>
      <c r="V88" s="238" t="s">
        <v>71</v>
      </c>
      <c r="W88" s="238"/>
      <c r="X88" s="45" t="str">
        <f>IF(AND(T88&gt;0,M96&lt;3,M108&lt;2,M128&lt;2), "&lt;&lt; Click for more options", "")</f>
        <v/>
      </c>
      <c r="Y88" s="86"/>
      <c r="Z88" s="86"/>
      <c r="AA88" s="346"/>
      <c r="AB88" s="346"/>
      <c r="AC88" s="346"/>
      <c r="AD88" s="346"/>
      <c r="AE88" s="346"/>
      <c r="AF88" s="346"/>
      <c r="AG88" s="346"/>
      <c r="AH88" s="346"/>
      <c r="AI88" s="60"/>
      <c r="AJ88" s="9"/>
      <c r="AK88" s="9"/>
      <c r="AL88" s="9"/>
      <c r="AM88" s="9"/>
      <c r="AN88" s="9"/>
      <c r="AO88" s="9"/>
      <c r="AP88" s="9"/>
      <c r="AQ88" s="6"/>
      <c r="AR88" s="8"/>
      <c r="AS88" s="8"/>
      <c r="AT88" s="8"/>
      <c r="AU88" s="8"/>
      <c r="AV88" s="8"/>
      <c r="AW88" s="8"/>
      <c r="AX88" s="8"/>
      <c r="AY88" s="8"/>
      <c r="AZ88" s="8"/>
      <c r="BA88" s="8"/>
      <c r="BB88" s="8"/>
      <c r="BC88" s="8"/>
      <c r="BD88" s="8"/>
      <c r="BE88" s="8"/>
      <c r="BF88" s="8"/>
      <c r="BG88" s="8"/>
      <c r="BH88" s="8"/>
      <c r="BI88" s="8"/>
    </row>
    <row r="89" spans="1:61" s="7" customFormat="1" x14ac:dyDescent="0.2">
      <c r="A89" s="118"/>
      <c r="B89" s="118" t="str">
        <f t="shared" si="30"/>
        <v>monthly</v>
      </c>
      <c r="C89" s="118" t="str">
        <f t="shared" si="31"/>
        <v/>
      </c>
      <c r="D89" s="118" t="s">
        <v>78</v>
      </c>
      <c r="E89" s="118" t="str">
        <f t="shared" si="12"/>
        <v/>
      </c>
      <c r="F89" s="163"/>
      <c r="G89" s="163">
        <f t="shared" si="32"/>
        <v>0</v>
      </c>
      <c r="H89" s="168" t="e">
        <f t="shared" si="33"/>
        <v>#VALUE!</v>
      </c>
      <c r="I89" s="163" t="s">
        <v>5</v>
      </c>
      <c r="J89" s="163"/>
      <c r="K89" s="167"/>
      <c r="L89" s="163"/>
      <c r="M89" s="168">
        <f t="shared" si="35"/>
        <v>0</v>
      </c>
      <c r="N89" s="168">
        <f t="shared" si="34"/>
        <v>0</v>
      </c>
      <c r="O89" s="268" t="s">
        <v>5</v>
      </c>
      <c r="P89" s="268"/>
      <c r="Q89" s="268"/>
      <c r="R89" s="268"/>
      <c r="S89" s="268"/>
      <c r="T89" s="242"/>
      <c r="U89" s="242"/>
      <c r="V89" s="240" t="s">
        <v>71</v>
      </c>
      <c r="W89" s="240"/>
      <c r="X89" s="44" t="str">
        <f>IF(AND(T89&gt;0,M96&lt;3,M108&lt;2,M128&lt;2), "&lt;&lt; Click for more options", IF(AND(T96&gt;0,T89=""), "Save monthly for when needed", ""))</f>
        <v/>
      </c>
      <c r="Y89" s="86"/>
      <c r="Z89" s="86"/>
      <c r="AA89" s="346"/>
      <c r="AB89" s="346"/>
      <c r="AC89" s="346"/>
      <c r="AD89" s="346"/>
      <c r="AE89" s="346"/>
      <c r="AF89" s="346"/>
      <c r="AG89" s="346"/>
      <c r="AH89" s="346"/>
      <c r="AI89" s="60"/>
      <c r="AJ89" s="9"/>
      <c r="AK89" s="9"/>
      <c r="AL89" s="9"/>
      <c r="AM89" s="9"/>
      <c r="AN89" s="9"/>
      <c r="AO89" s="9"/>
      <c r="AP89" s="9"/>
      <c r="AQ89" s="6"/>
      <c r="AR89" s="8"/>
      <c r="AS89" s="8"/>
      <c r="AT89" s="8"/>
      <c r="AU89" s="8"/>
      <c r="AV89" s="8"/>
      <c r="AW89" s="8"/>
      <c r="AX89" s="8"/>
      <c r="AY89" s="8"/>
      <c r="AZ89" s="8"/>
      <c r="BA89" s="8"/>
      <c r="BB89" s="8"/>
      <c r="BC89" s="8"/>
      <c r="BD89" s="8"/>
      <c r="BE89" s="8"/>
      <c r="BF89" s="8"/>
      <c r="BG89" s="8"/>
      <c r="BH89" s="8"/>
      <c r="BI89" s="8"/>
    </row>
    <row r="90" spans="1:61" s="7" customFormat="1" ht="12.75" customHeight="1" x14ac:dyDescent="0.2">
      <c r="A90" s="118"/>
      <c r="B90" s="118" t="str">
        <f t="shared" si="30"/>
        <v>monthly</v>
      </c>
      <c r="C90" s="118" t="str">
        <f t="shared" si="31"/>
        <v/>
      </c>
      <c r="D90" s="118" t="s">
        <v>78</v>
      </c>
      <c r="E90" s="118" t="str">
        <f t="shared" si="12"/>
        <v/>
      </c>
      <c r="F90" s="163"/>
      <c r="G90" s="163">
        <f t="shared" si="32"/>
        <v>0</v>
      </c>
      <c r="H90" s="168" t="e">
        <f t="shared" si="33"/>
        <v>#VALUE!</v>
      </c>
      <c r="I90" s="163" t="s">
        <v>218</v>
      </c>
      <c r="J90" s="163" t="s">
        <v>2</v>
      </c>
      <c r="K90" s="163"/>
      <c r="L90" s="163"/>
      <c r="M90" s="168">
        <f t="shared" si="35"/>
        <v>0</v>
      </c>
      <c r="N90" s="168">
        <f t="shared" si="34"/>
        <v>0</v>
      </c>
      <c r="O90" s="236" t="s">
        <v>218</v>
      </c>
      <c r="P90" s="236"/>
      <c r="Q90" s="236"/>
      <c r="R90" s="236"/>
      <c r="S90" s="236"/>
      <c r="T90" s="344"/>
      <c r="U90" s="344"/>
      <c r="V90" s="238" t="s">
        <v>71</v>
      </c>
      <c r="W90" s="238"/>
      <c r="X90" s="45" t="str">
        <f>IF(AND(T90&gt;0,M96&lt;3,M108&lt;2,M128&lt;2), "&lt;&lt; Click for more options", "")</f>
        <v/>
      </c>
      <c r="Y90" s="86"/>
      <c r="Z90" s="86"/>
      <c r="AA90" s="61"/>
      <c r="AB90" s="61"/>
      <c r="AC90" s="61"/>
      <c r="AD90" s="61"/>
      <c r="AE90" s="61"/>
      <c r="AF90" s="61"/>
      <c r="AG90" s="61"/>
      <c r="AH90" s="61"/>
      <c r="AI90" s="60"/>
      <c r="AJ90" s="9"/>
      <c r="AK90" s="9"/>
      <c r="AL90" s="9"/>
      <c r="AM90" s="9"/>
      <c r="AN90" s="9"/>
      <c r="AO90" s="9"/>
      <c r="AP90" s="9"/>
      <c r="AQ90" s="6"/>
      <c r="AR90" s="8"/>
      <c r="AS90" s="8"/>
      <c r="AT90" s="8"/>
      <c r="AU90" s="8"/>
      <c r="AV90" s="8"/>
      <c r="AW90" s="8"/>
      <c r="AX90" s="8"/>
      <c r="AY90" s="8"/>
      <c r="AZ90" s="8"/>
      <c r="BA90" s="8"/>
      <c r="BB90" s="8"/>
      <c r="BC90" s="8"/>
      <c r="BD90" s="8"/>
      <c r="BE90" s="8"/>
      <c r="BF90" s="8"/>
      <c r="BG90" s="8"/>
      <c r="BH90" s="8"/>
      <c r="BI90" s="8"/>
    </row>
    <row r="91" spans="1:61" s="7" customFormat="1" ht="12.75" customHeight="1" x14ac:dyDescent="0.2">
      <c r="A91" s="118"/>
      <c r="B91" s="118" t="str">
        <f t="shared" si="30"/>
        <v>monthly</v>
      </c>
      <c r="C91" s="118" t="str">
        <f t="shared" si="31"/>
        <v/>
      </c>
      <c r="D91" s="118" t="s">
        <v>78</v>
      </c>
      <c r="E91" s="118" t="str">
        <f t="shared" si="12"/>
        <v/>
      </c>
      <c r="F91" s="163"/>
      <c r="G91" s="163">
        <f t="shared" si="32"/>
        <v>0</v>
      </c>
      <c r="H91" s="168" t="e">
        <f t="shared" si="33"/>
        <v>#VALUE!</v>
      </c>
      <c r="I91" s="163" t="s">
        <v>217</v>
      </c>
      <c r="J91" s="163" t="s">
        <v>93</v>
      </c>
      <c r="K91" s="163" t="s">
        <v>113</v>
      </c>
      <c r="L91" s="163"/>
      <c r="M91" s="168">
        <f t="shared" si="35"/>
        <v>0</v>
      </c>
      <c r="N91" s="168">
        <f t="shared" si="34"/>
        <v>0</v>
      </c>
      <c r="O91" s="268" t="s">
        <v>89</v>
      </c>
      <c r="P91" s="268"/>
      <c r="Q91" s="268"/>
      <c r="R91" s="268"/>
      <c r="S91" s="268"/>
      <c r="T91" s="242"/>
      <c r="U91" s="242"/>
      <c r="V91" s="240" t="s">
        <v>71</v>
      </c>
      <c r="W91" s="240"/>
      <c r="X91" s="46" t="str">
        <f>IF(AND(T96&gt;0,T91=""), "Save monthly for when needed", "")</f>
        <v/>
      </c>
      <c r="Y91" s="86"/>
      <c r="Z91" s="86"/>
      <c r="AA91" s="346" t="s">
        <v>307</v>
      </c>
      <c r="AB91" s="346"/>
      <c r="AC91" s="346"/>
      <c r="AD91" s="346"/>
      <c r="AE91" s="346"/>
      <c r="AF91" s="346"/>
      <c r="AG91" s="346"/>
      <c r="AH91" s="346"/>
      <c r="AI91" s="60"/>
      <c r="AJ91" s="9"/>
      <c r="AK91" s="9"/>
      <c r="AL91" s="9"/>
      <c r="AM91" s="9"/>
      <c r="AN91" s="9"/>
      <c r="AO91" s="9"/>
      <c r="AP91" s="9"/>
      <c r="AQ91" s="6"/>
      <c r="AR91" s="8"/>
      <c r="AS91" s="8"/>
      <c r="AT91" s="8"/>
      <c r="AU91" s="8"/>
      <c r="AV91" s="8"/>
      <c r="AW91" s="8"/>
      <c r="AX91" s="8"/>
      <c r="AY91" s="8"/>
      <c r="AZ91" s="8"/>
      <c r="BA91" s="8"/>
      <c r="BB91" s="8"/>
      <c r="BC91" s="8"/>
      <c r="BD91" s="8"/>
      <c r="BE91" s="8"/>
      <c r="BF91" s="8"/>
      <c r="BG91" s="8"/>
      <c r="BH91" s="8"/>
      <c r="BI91" s="8"/>
    </row>
    <row r="92" spans="1:61" s="7" customFormat="1" x14ac:dyDescent="0.2">
      <c r="A92" s="118"/>
      <c r="B92" s="118" t="str">
        <f t="shared" si="30"/>
        <v>monthly</v>
      </c>
      <c r="C92" s="118" t="str">
        <f t="shared" si="31"/>
        <v/>
      </c>
      <c r="D92" s="118" t="s">
        <v>78</v>
      </c>
      <c r="E92" s="118" t="str">
        <f t="shared" si="12"/>
        <v/>
      </c>
      <c r="F92" s="163"/>
      <c r="G92" s="163">
        <f t="shared" si="32"/>
        <v>0</v>
      </c>
      <c r="H92" s="168" t="e">
        <f t="shared" si="33"/>
        <v>#VALUE!</v>
      </c>
      <c r="I92" s="169" t="s">
        <v>89</v>
      </c>
      <c r="J92" s="118"/>
      <c r="K92" s="163"/>
      <c r="L92" s="163"/>
      <c r="M92" s="168">
        <f t="shared" si="35"/>
        <v>0</v>
      </c>
      <c r="N92" s="168">
        <f t="shared" si="34"/>
        <v>0</v>
      </c>
      <c r="O92" s="236" t="s">
        <v>90</v>
      </c>
      <c r="P92" s="236"/>
      <c r="Q92" s="236"/>
      <c r="R92" s="236"/>
      <c r="S92" s="236"/>
      <c r="T92" s="344"/>
      <c r="U92" s="344"/>
      <c r="V92" s="238" t="s">
        <v>71</v>
      </c>
      <c r="W92" s="238"/>
      <c r="X92" s="45"/>
      <c r="Y92" s="86"/>
      <c r="Z92" s="86"/>
      <c r="AA92" s="346"/>
      <c r="AB92" s="346"/>
      <c r="AC92" s="346"/>
      <c r="AD92" s="346"/>
      <c r="AE92" s="346"/>
      <c r="AF92" s="346"/>
      <c r="AG92" s="346"/>
      <c r="AH92" s="346"/>
      <c r="AI92" s="60"/>
      <c r="AJ92" s="9"/>
      <c r="AK92" s="9"/>
      <c r="AL92" s="9"/>
      <c r="AM92" s="9"/>
      <c r="AN92" s="9"/>
      <c r="AO92" s="9"/>
      <c r="AP92" s="9"/>
      <c r="AQ92" s="6"/>
      <c r="AR92" s="8"/>
      <c r="AS92" s="8"/>
      <c r="AT92" s="8"/>
      <c r="AU92" s="8"/>
      <c r="AV92" s="8"/>
      <c r="AW92" s="8"/>
      <c r="AX92" s="8"/>
      <c r="AY92" s="8"/>
      <c r="AZ92" s="8"/>
      <c r="BA92" s="8"/>
      <c r="BB92" s="8"/>
      <c r="BC92" s="8"/>
      <c r="BD92" s="8"/>
      <c r="BE92" s="8"/>
      <c r="BF92" s="8"/>
      <c r="BG92" s="8"/>
      <c r="BH92" s="8"/>
      <c r="BI92" s="8"/>
    </row>
    <row r="93" spans="1:61" s="7" customFormat="1" x14ac:dyDescent="0.2">
      <c r="A93" s="118"/>
      <c r="B93" s="118" t="str">
        <f t="shared" si="30"/>
        <v>monthly</v>
      </c>
      <c r="C93" s="118" t="str">
        <f t="shared" si="31"/>
        <v/>
      </c>
      <c r="D93" s="118" t="s">
        <v>78</v>
      </c>
      <c r="E93" s="118" t="str">
        <f t="shared" si="12"/>
        <v/>
      </c>
      <c r="F93" s="163"/>
      <c r="G93" s="163">
        <f t="shared" si="32"/>
        <v>0</v>
      </c>
      <c r="H93" s="168" t="e">
        <f t="shared" si="33"/>
        <v>#VALUE!</v>
      </c>
      <c r="I93" s="169" t="s">
        <v>90</v>
      </c>
      <c r="J93" s="118"/>
      <c r="K93" s="163"/>
      <c r="L93" s="163"/>
      <c r="M93" s="168">
        <f t="shared" si="35"/>
        <v>0</v>
      </c>
      <c r="N93" s="168">
        <f t="shared" si="34"/>
        <v>0</v>
      </c>
      <c r="O93" s="268"/>
      <c r="P93" s="268"/>
      <c r="Q93" s="268"/>
      <c r="R93" s="268"/>
      <c r="S93" s="268"/>
      <c r="T93" s="242"/>
      <c r="U93" s="242"/>
      <c r="V93" s="240" t="s">
        <v>71</v>
      </c>
      <c r="W93" s="240"/>
      <c r="X93" s="46" t="str">
        <f>IF(AND(T96&gt;0,T93=""), "Save monthly for when needed", "")</f>
        <v/>
      </c>
      <c r="Y93" s="86"/>
      <c r="Z93" s="86"/>
      <c r="AA93" s="346"/>
      <c r="AB93" s="346"/>
      <c r="AC93" s="346"/>
      <c r="AD93" s="346"/>
      <c r="AE93" s="346"/>
      <c r="AF93" s="346"/>
      <c r="AG93" s="346"/>
      <c r="AH93" s="346"/>
      <c r="AI93" s="60"/>
      <c r="AJ93" s="9"/>
      <c r="AK93" s="9"/>
      <c r="AL93" s="9"/>
      <c r="AM93" s="9"/>
      <c r="AN93" s="9"/>
      <c r="AO93" s="9"/>
      <c r="AP93" s="9"/>
      <c r="AQ93" s="6"/>
      <c r="AR93" s="8"/>
      <c r="AS93" s="8"/>
      <c r="AT93" s="8"/>
      <c r="AU93" s="8"/>
      <c r="AV93" s="8"/>
      <c r="AW93" s="8"/>
      <c r="AX93" s="8"/>
      <c r="AY93" s="8"/>
      <c r="AZ93" s="8"/>
      <c r="BA93" s="8"/>
      <c r="BB93" s="8"/>
      <c r="BC93" s="8"/>
      <c r="BD93" s="8"/>
      <c r="BE93" s="8"/>
      <c r="BF93" s="8"/>
      <c r="BG93" s="8"/>
      <c r="BH93" s="8"/>
      <c r="BI93" s="8"/>
    </row>
    <row r="94" spans="1:61" s="7" customFormat="1" x14ac:dyDescent="0.2">
      <c r="A94" s="118"/>
      <c r="B94" s="118" t="str">
        <f t="shared" si="30"/>
        <v>monthly</v>
      </c>
      <c r="C94" s="118" t="str">
        <f t="shared" ref="C94:C157" si="36">IF(T94="", "", IF(B94="weekly", T94*52, IF(B94="bi-weekly", T94*26, IF(B94="semi-monthly", T94*24, IF(B94="monthly", T94*12, IF(B94="every 2 months", T94*6, IF(B94="every 3 months", T94*4, IF(B94="quarterly", T94*4, IF(B94="every 4 months", T94*3, IF(B94="every 6 months", T94*2, IF(B94="every 8 months", T94*1.5, IF(B94="every 10 months", T94*1.2, IF(B94="annually", T94, 0)))))))))))))</f>
        <v/>
      </c>
      <c r="D94" s="118" t="s">
        <v>78</v>
      </c>
      <c r="E94" s="118" t="str">
        <f t="shared" si="12"/>
        <v/>
      </c>
      <c r="F94" s="163"/>
      <c r="G94" s="163">
        <f t="shared" si="32"/>
        <v>0</v>
      </c>
      <c r="H94" s="168" t="e">
        <f t="shared" si="33"/>
        <v>#VALUE!</v>
      </c>
      <c r="I94" s="118" t="s">
        <v>392</v>
      </c>
      <c r="J94" s="118"/>
      <c r="K94" s="163"/>
      <c r="L94" s="163"/>
      <c r="M94" s="168">
        <f t="shared" si="35"/>
        <v>0</v>
      </c>
      <c r="N94" s="168">
        <f t="shared" si="34"/>
        <v>0</v>
      </c>
      <c r="O94" s="236"/>
      <c r="P94" s="236"/>
      <c r="Q94" s="236"/>
      <c r="R94" s="236"/>
      <c r="S94" s="236"/>
      <c r="T94" s="344"/>
      <c r="U94" s="344"/>
      <c r="V94" s="238" t="s">
        <v>71</v>
      </c>
      <c r="W94" s="238"/>
      <c r="X94" s="47"/>
      <c r="Y94" s="86"/>
      <c r="Z94" s="86"/>
      <c r="AA94" s="50"/>
      <c r="AB94" s="50"/>
      <c r="AC94" s="50"/>
      <c r="AD94" s="50"/>
      <c r="AE94" s="50"/>
      <c r="AF94" s="50"/>
      <c r="AG94" s="50"/>
      <c r="AH94" s="50"/>
      <c r="AI94" s="60"/>
      <c r="AJ94" s="9"/>
      <c r="AK94" s="9"/>
      <c r="AL94" s="9"/>
      <c r="AM94" s="9"/>
      <c r="AN94" s="9"/>
      <c r="AO94" s="9"/>
      <c r="AP94" s="9"/>
      <c r="AQ94" s="6"/>
      <c r="AR94" s="8"/>
      <c r="AS94" s="8"/>
      <c r="AT94" s="8"/>
      <c r="AU94" s="8"/>
      <c r="AV94" s="8"/>
      <c r="AW94" s="8"/>
      <c r="AX94" s="8"/>
      <c r="AY94" s="8"/>
      <c r="AZ94" s="8"/>
      <c r="BA94" s="8"/>
      <c r="BB94" s="8"/>
      <c r="BC94" s="8"/>
      <c r="BD94" s="8"/>
      <c r="BE94" s="8"/>
      <c r="BF94" s="8"/>
      <c r="BG94" s="8"/>
      <c r="BH94" s="8"/>
      <c r="BI94" s="8"/>
    </row>
    <row r="95" spans="1:61" s="7" customFormat="1" x14ac:dyDescent="0.2">
      <c r="A95" s="118"/>
      <c r="B95" s="118" t="str">
        <f t="shared" si="30"/>
        <v>monthly</v>
      </c>
      <c r="C95" s="118" t="str">
        <f t="shared" si="36"/>
        <v/>
      </c>
      <c r="D95" s="118" t="s">
        <v>78</v>
      </c>
      <c r="E95" s="118" t="str">
        <f t="shared" si="12"/>
        <v/>
      </c>
      <c r="F95" s="163"/>
      <c r="G95" s="163">
        <f t="shared" si="32"/>
        <v>0</v>
      </c>
      <c r="H95" s="168" t="e">
        <f t="shared" si="33"/>
        <v>#VALUE!</v>
      </c>
      <c r="I95" s="163" t="s">
        <v>8</v>
      </c>
      <c r="J95" s="118"/>
      <c r="K95" s="163"/>
      <c r="L95" s="163"/>
      <c r="M95" s="168">
        <f t="shared" si="35"/>
        <v>0</v>
      </c>
      <c r="N95" s="168">
        <f t="shared" si="34"/>
        <v>0</v>
      </c>
      <c r="O95" s="255"/>
      <c r="P95" s="255"/>
      <c r="Q95" s="255"/>
      <c r="R95" s="255"/>
      <c r="S95" s="255"/>
      <c r="T95" s="242"/>
      <c r="U95" s="242"/>
      <c r="V95" s="240" t="s">
        <v>71</v>
      </c>
      <c r="W95" s="240"/>
      <c r="X95" s="44"/>
      <c r="Y95" s="86"/>
      <c r="Z95" s="86"/>
      <c r="AA95" s="86"/>
      <c r="AB95" s="86"/>
      <c r="AC95" s="86"/>
      <c r="AD95" s="86"/>
      <c r="AE95" s="86"/>
      <c r="AF95" s="86"/>
      <c r="AG95" s="86"/>
      <c r="AH95" s="86"/>
      <c r="AI95" s="76"/>
      <c r="AJ95" s="9"/>
      <c r="AK95" s="9"/>
      <c r="AL95" s="9"/>
      <c r="AM95" s="9"/>
      <c r="AN95" s="9"/>
      <c r="AO95" s="9"/>
      <c r="AP95" s="9"/>
      <c r="AQ95" s="6"/>
      <c r="AR95" s="8"/>
      <c r="AS95" s="8"/>
      <c r="AT95" s="8"/>
      <c r="AU95" s="8"/>
      <c r="AV95" s="8"/>
      <c r="AW95" s="8"/>
      <c r="AX95" s="8"/>
      <c r="AY95" s="8"/>
      <c r="AZ95" s="8"/>
      <c r="BA95" s="8"/>
      <c r="BB95" s="8"/>
      <c r="BC95" s="8"/>
      <c r="BD95" s="8"/>
      <c r="BE95" s="8"/>
      <c r="BF95" s="8"/>
      <c r="BG95" s="8"/>
      <c r="BH95" s="8"/>
      <c r="BI95" s="8"/>
    </row>
    <row r="96" spans="1:61" s="7" customFormat="1" ht="17.25" customHeight="1" x14ac:dyDescent="0.2">
      <c r="A96" s="118"/>
      <c r="B96" s="118"/>
      <c r="C96" s="118"/>
      <c r="D96" s="118"/>
      <c r="E96" s="118"/>
      <c r="F96" s="163"/>
      <c r="G96" s="163">
        <f>SUM(G85:G95)</f>
        <v>0</v>
      </c>
      <c r="H96" s="163"/>
      <c r="I96" s="163"/>
      <c r="J96" s="163"/>
      <c r="K96" s="163"/>
      <c r="L96" s="168">
        <f>SUM(M85:M90)</f>
        <v>0</v>
      </c>
      <c r="M96" s="168">
        <f>SUM(M85:M95)</f>
        <v>0</v>
      </c>
      <c r="N96" s="168"/>
      <c r="O96" s="264" t="str">
        <f>IF(T12="On", IF(M96=0, "TRANSPORTATION TOTAL", IF(AND(M96&gt;0,T37&lt;=0), "TRANSPORTATION TOTAL", IF((T96/T37)&gt;0.2, "Your TRANSPORTATION TOTAL of", "TRANSPORTATION TOTAL"))), "TRANSPORTATION TOTAL")</f>
        <v>TRANSPORTATION TOTAL</v>
      </c>
      <c r="P96" s="264"/>
      <c r="Q96" s="264"/>
      <c r="R96" s="264"/>
      <c r="S96" s="264"/>
      <c r="T96" s="275">
        <f>SUM(N85:N95)</f>
        <v>0</v>
      </c>
      <c r="U96" s="275"/>
      <c r="V96" s="32" t="e">
        <f>IF(T12="On", T96/T37, "")</f>
        <v>#DIV/0!</v>
      </c>
      <c r="W96" s="282" t="str">
        <f>IF(T12="On", IF(M96=0, "", IF(AND(M96&gt;0, T37&lt;=0), "", IF((T96/T37)&gt;1, " is greater than your income", IF((T96/T37)&gt;0.2, " is greater than 20% of your income",  "")))), "")</f>
        <v/>
      </c>
      <c r="X96" s="282"/>
      <c r="Y96" s="86"/>
      <c r="Z96" s="86"/>
      <c r="AA96" s="86"/>
      <c r="AB96" s="86"/>
      <c r="AC96" s="86"/>
      <c r="AD96" s="86"/>
      <c r="AE96" s="86"/>
      <c r="AF96" s="86"/>
      <c r="AG96" s="86"/>
      <c r="AH96" s="86"/>
      <c r="AI96" s="76"/>
      <c r="AJ96" s="9"/>
      <c r="AK96" s="9"/>
      <c r="AL96" s="9"/>
      <c r="AM96" s="9"/>
      <c r="AN96" s="9"/>
      <c r="AO96" s="9"/>
      <c r="AP96" s="9"/>
      <c r="AQ96" s="6"/>
      <c r="AR96" s="8"/>
      <c r="AS96" s="8"/>
      <c r="AT96" s="8"/>
      <c r="AU96" s="8"/>
      <c r="AV96" s="8"/>
      <c r="AW96" s="8"/>
      <c r="AX96" s="8"/>
      <c r="AY96" s="8"/>
      <c r="AZ96" s="8"/>
      <c r="BA96" s="8"/>
      <c r="BB96" s="8"/>
      <c r="BC96" s="8"/>
      <c r="BD96" s="8"/>
      <c r="BE96" s="8"/>
      <c r="BF96" s="8"/>
      <c r="BG96" s="8"/>
      <c r="BH96" s="8"/>
      <c r="BI96" s="8"/>
    </row>
    <row r="97" spans="1:61" s="7" customFormat="1" ht="36" customHeight="1" x14ac:dyDescent="0.2">
      <c r="A97" s="118"/>
      <c r="B97" s="118"/>
      <c r="C97" s="118"/>
      <c r="D97" s="118"/>
      <c r="E97" s="118"/>
      <c r="F97" s="163"/>
      <c r="G97" s="163"/>
      <c r="H97" s="163"/>
      <c r="I97" s="163" t="str">
        <f>IF(OR(T4="First Name", T4=""), CONCATENATE(J98,K99), CONCATENATE(J98,PROPER(T4)))</f>
        <v>Clothing for Adult 1</v>
      </c>
      <c r="J97" s="163"/>
      <c r="K97" s="163"/>
      <c r="L97" s="163"/>
      <c r="M97" s="168"/>
      <c r="N97" s="168"/>
      <c r="O97" s="246" t="str">
        <f>IF(T12="On", IF(M96=0, "", IF(AND(M96&gt;0,T37&lt;=0), "Please enter your income in the green highlighted area near the top of this worksheet.", IF((T96/T37)&gt;1,"Check your numbers. It looks like you entered too much for this category.",IF((T96/T37)&gt;0.3, CONCATENATE("Your spending on this category is very high. Most people don't need to spend more than 20% of their income on transportation. You're spending ", K84, "%."),IF((T96/T37)&gt;0.201, CONCATENATE("Your spending on this category is a little high. Most people usually don't need to spend more than 20% of their income on transportation. You've allocated ", K84, "% of your income."),IF((T96/T37)&lt;0.1, CONCATENATE("Your transportation spending is lower than normal. Most Canadians tend to spend at least 15% of their budget on this category. You're spending ",K84,"%."),IF((T96/T37)&lt;0.1495,CONCATENATE("Your transportation spending is a little lower than normal. Most Canadians tend to spend at least 15% of their budget on this category. You're spending ",K84,"%."),""))))))), "")</f>
        <v/>
      </c>
      <c r="P97" s="246"/>
      <c r="Q97" s="246"/>
      <c r="R97" s="246"/>
      <c r="S97" s="246"/>
      <c r="T97" s="246"/>
      <c r="U97" s="246"/>
      <c r="V97" s="246"/>
      <c r="W97" s="246"/>
      <c r="X97" s="246"/>
      <c r="Y97" s="86"/>
      <c r="Z97" s="86"/>
      <c r="AA97" s="86"/>
      <c r="AB97" s="89"/>
      <c r="AC97" s="89"/>
      <c r="AD97" s="89"/>
      <c r="AE97" s="89"/>
      <c r="AF97" s="89"/>
      <c r="AG97" s="89"/>
      <c r="AH97" s="89"/>
      <c r="AI97" s="86"/>
      <c r="AJ97" s="9"/>
      <c r="AK97" s="9"/>
      <c r="AL97" s="9"/>
      <c r="AM97" s="9"/>
      <c r="AN97" s="9"/>
      <c r="AO97" s="9"/>
      <c r="AP97" s="9"/>
      <c r="AQ97" s="6"/>
      <c r="AR97" s="8"/>
      <c r="AS97" s="8"/>
      <c r="AT97" s="8"/>
      <c r="AU97" s="8"/>
      <c r="AV97" s="8"/>
      <c r="AW97" s="8"/>
      <c r="AX97" s="8"/>
      <c r="AY97" s="8"/>
      <c r="AZ97" s="8"/>
      <c r="BA97" s="8"/>
      <c r="BB97" s="8"/>
      <c r="BC97" s="8"/>
      <c r="BD97" s="8"/>
      <c r="BE97" s="8"/>
      <c r="BF97" s="8"/>
      <c r="BG97" s="8"/>
      <c r="BH97" s="8"/>
      <c r="BI97" s="8"/>
    </row>
    <row r="98" spans="1:61" s="11" customFormat="1" ht="17.25" customHeight="1" x14ac:dyDescent="0.2">
      <c r="A98" s="188"/>
      <c r="B98" s="118"/>
      <c r="C98" s="118"/>
      <c r="D98" s="118"/>
      <c r="E98" s="118"/>
      <c r="F98" s="169"/>
      <c r="G98" s="169"/>
      <c r="H98" s="169"/>
      <c r="I98" s="169" t="str">
        <f>IF(OR(T6="First Name", T6=""), CONCATENATE(J99,K100), CONCATENATE(J99,PROPER(T6)))</f>
        <v>Clothing for Adult 2</v>
      </c>
      <c r="J98" s="169" t="s">
        <v>168</v>
      </c>
      <c r="K98" s="169" t="s">
        <v>95</v>
      </c>
      <c r="L98" s="169" t="s">
        <v>82</v>
      </c>
      <c r="M98" s="192" t="s">
        <v>94</v>
      </c>
      <c r="N98" s="180">
        <f>ROUND(T37*0.03,0)</f>
        <v>0</v>
      </c>
      <c r="O98" s="253" t="s">
        <v>21</v>
      </c>
      <c r="P98" s="253"/>
      <c r="Q98" s="253"/>
      <c r="R98" s="253"/>
      <c r="S98" s="253"/>
      <c r="T98" s="253"/>
      <c r="U98" s="253"/>
      <c r="V98" s="253"/>
      <c r="W98" s="253"/>
      <c r="X98" s="253"/>
      <c r="Y98" s="88"/>
      <c r="Z98" s="88"/>
      <c r="AA98" s="88"/>
      <c r="AB98" s="88"/>
      <c r="AC98" s="88"/>
      <c r="AD98" s="88"/>
      <c r="AE98" s="88"/>
      <c r="AF98" s="88"/>
      <c r="AG98" s="88"/>
      <c r="AH98" s="88"/>
      <c r="AI98" s="88"/>
      <c r="AJ98" s="23"/>
      <c r="AK98" s="23"/>
      <c r="AL98" s="23"/>
      <c r="AM98" s="23"/>
      <c r="AN98" s="23"/>
      <c r="AO98" s="23"/>
      <c r="AP98" s="23"/>
      <c r="AQ98" s="10"/>
      <c r="AR98" s="12"/>
      <c r="AS98" s="12"/>
      <c r="AT98" s="12"/>
      <c r="AU98" s="12"/>
      <c r="AV98" s="12"/>
      <c r="AW98" s="12"/>
      <c r="AX98" s="12"/>
      <c r="AY98" s="12"/>
      <c r="AZ98" s="12"/>
      <c r="BA98" s="12"/>
      <c r="BB98" s="12"/>
      <c r="BC98" s="12"/>
      <c r="BD98" s="12"/>
      <c r="BE98" s="12"/>
      <c r="BF98" s="12"/>
      <c r="BG98" s="12"/>
      <c r="BH98" s="12"/>
      <c r="BI98" s="12"/>
    </row>
    <row r="99" spans="1:61" s="11" customFormat="1" ht="32.25" customHeight="1" x14ac:dyDescent="0.2">
      <c r="A99" s="188"/>
      <c r="B99" s="118"/>
      <c r="C99" s="118"/>
      <c r="D99" s="118"/>
      <c r="E99" s="118"/>
      <c r="F99" s="169"/>
      <c r="G99" s="169"/>
      <c r="H99" s="169"/>
      <c r="I99" s="169" t="str">
        <f>IF(OR(T4="First Name", T4=""), CONCATENATE(J100,K99), CONCATENATE(J100,PROPER(T4)))</f>
        <v>Shoes for Adult 1</v>
      </c>
      <c r="J99" s="169" t="s">
        <v>168</v>
      </c>
      <c r="K99" s="163" t="s">
        <v>143</v>
      </c>
      <c r="L99" s="169"/>
      <c r="M99" s="192"/>
      <c r="N99" s="180">
        <f>ROUND(T37*0.05,0)</f>
        <v>0</v>
      </c>
      <c r="O99" s="260" t="str">
        <f>IF(T12="On", IF(T37=0, "It's a good idea to allocate 3% - 5% of your budget for clothing.", IF(T37&gt;0, CONCATENATE(M98,N98,L98,N99,K98), "It's a good idea to allocate 3% - 5% of your budget for clothing.")), "")</f>
        <v>It's a good idea to allocate 3% - 5% of your budget for clothing.</v>
      </c>
      <c r="P99" s="260"/>
      <c r="Q99" s="260"/>
      <c r="R99" s="260"/>
      <c r="S99" s="260"/>
      <c r="T99" s="243" t="s">
        <v>80</v>
      </c>
      <c r="U99" s="243"/>
      <c r="V99" s="263" t="s">
        <v>79</v>
      </c>
      <c r="W99" s="263"/>
      <c r="X99" s="133" t="s">
        <v>40</v>
      </c>
      <c r="Y99" s="88"/>
      <c r="Z99" s="88"/>
      <c r="AA99" s="88"/>
      <c r="AB99" s="88"/>
      <c r="AC99" s="88"/>
      <c r="AD99" s="88"/>
      <c r="AE99" s="88"/>
      <c r="AF99" s="88"/>
      <c r="AG99" s="88"/>
      <c r="AH99" s="88"/>
      <c r="AI99" s="88"/>
      <c r="AJ99" s="23"/>
      <c r="AK99" s="23"/>
      <c r="AL99" s="23"/>
      <c r="AM99" s="23"/>
      <c r="AN99" s="23"/>
      <c r="AO99" s="23"/>
      <c r="AP99" s="23"/>
      <c r="AQ99" s="10"/>
      <c r="AR99" s="12"/>
      <c r="AS99" s="12"/>
      <c r="AT99" s="12"/>
      <c r="AU99" s="12"/>
      <c r="AV99" s="12"/>
      <c r="AW99" s="12"/>
      <c r="AX99" s="12"/>
      <c r="AY99" s="12"/>
      <c r="AZ99" s="12"/>
      <c r="BA99" s="12"/>
      <c r="BB99" s="12"/>
      <c r="BC99" s="12"/>
      <c r="BD99" s="12"/>
      <c r="BE99" s="12"/>
      <c r="BF99" s="12"/>
      <c r="BG99" s="12"/>
      <c r="BH99" s="12"/>
      <c r="BI99" s="12"/>
    </row>
    <row r="100" spans="1:61" s="7" customFormat="1" x14ac:dyDescent="0.2">
      <c r="A100" s="118"/>
      <c r="B100" s="118" t="str">
        <f t="shared" ref="B100:B107" si="37">V100</f>
        <v>monthly</v>
      </c>
      <c r="C100" s="118" t="str">
        <f t="shared" si="36"/>
        <v/>
      </c>
      <c r="D100" s="118" t="s">
        <v>78</v>
      </c>
      <c r="E100" s="118" t="str">
        <f t="shared" si="12"/>
        <v/>
      </c>
      <c r="F100" s="163"/>
      <c r="G100" s="163"/>
      <c r="H100" s="163"/>
      <c r="I100" s="163" t="str">
        <f>IF(OR(T6="First Name", T6=""), CONCATENATE(J100,K100), CONCATENATE(J100,PROPER(T6)))</f>
        <v>Shoes for Adult 2</v>
      </c>
      <c r="J100" s="163" t="s">
        <v>169</v>
      </c>
      <c r="K100" s="163" t="s">
        <v>144</v>
      </c>
      <c r="L100" s="163"/>
      <c r="M100" s="168">
        <f>COUNTIF(T100,"&gt;0")</f>
        <v>0</v>
      </c>
      <c r="N100" s="168">
        <f>IF(V100="weekly", (T100*52)/12, IF(V100="bi-weekly", (T100*26)/12, IF(V100="semi-monthly", (T100*24)/12, IF(V100="monthly", T100, IF(V100="quarterly", T100/3, IF(V100="annually", T100/12, T100))))))</f>
        <v>0</v>
      </c>
      <c r="O100" s="268" t="s">
        <v>429</v>
      </c>
      <c r="P100" s="268"/>
      <c r="Q100" s="268"/>
      <c r="R100" s="268"/>
      <c r="S100" s="268"/>
      <c r="T100" s="239"/>
      <c r="U100" s="239"/>
      <c r="V100" s="240" t="s">
        <v>71</v>
      </c>
      <c r="W100" s="240"/>
      <c r="X100" s="46" t="str">
        <f>IF(AND($T$100&gt;0,$M$108&lt;3),"&lt;&lt; Click for more options", "")</f>
        <v/>
      </c>
      <c r="Y100" s="86"/>
      <c r="Z100" s="86"/>
      <c r="AA100" s="86"/>
      <c r="AB100" s="86"/>
      <c r="AC100" s="86"/>
      <c r="AD100" s="86"/>
      <c r="AE100" s="86"/>
      <c r="AF100" s="86"/>
      <c r="AG100" s="86"/>
      <c r="AH100" s="86"/>
      <c r="AI100" s="86"/>
      <c r="AJ100" s="9"/>
      <c r="AK100" s="9"/>
      <c r="AL100" s="9"/>
      <c r="AM100" s="9"/>
      <c r="AN100" s="9"/>
      <c r="AO100" s="9"/>
      <c r="AP100" s="9"/>
      <c r="AQ100" s="6"/>
      <c r="AR100" s="8"/>
      <c r="AS100" s="8"/>
      <c r="AT100" s="8"/>
      <c r="AU100" s="8"/>
      <c r="AV100" s="8"/>
      <c r="AW100" s="8"/>
      <c r="AX100" s="8"/>
      <c r="AY100" s="8"/>
      <c r="AZ100" s="8"/>
      <c r="BA100" s="8"/>
      <c r="BB100" s="8"/>
      <c r="BC100" s="8"/>
      <c r="BD100" s="8"/>
      <c r="BE100" s="8"/>
      <c r="BF100" s="8"/>
      <c r="BG100" s="8"/>
      <c r="BH100" s="8"/>
      <c r="BI100" s="8"/>
    </row>
    <row r="101" spans="1:61" s="7" customFormat="1" x14ac:dyDescent="0.2">
      <c r="A101" s="118"/>
      <c r="B101" s="118" t="str">
        <f t="shared" si="37"/>
        <v>monthly</v>
      </c>
      <c r="C101" s="118" t="str">
        <f t="shared" si="36"/>
        <v/>
      </c>
      <c r="D101" s="118" t="s">
        <v>78</v>
      </c>
      <c r="E101" s="118" t="str">
        <f t="shared" si="12"/>
        <v/>
      </c>
      <c r="F101" s="163"/>
      <c r="G101" s="163"/>
      <c r="H101" s="163"/>
      <c r="I101" s="163" t="s">
        <v>183</v>
      </c>
      <c r="J101" s="163"/>
      <c r="K101" s="163"/>
      <c r="L101" s="163"/>
      <c r="M101" s="168">
        <f t="shared" ref="M101:M107" si="38">COUNTIF(T101,"&gt;0")</f>
        <v>0</v>
      </c>
      <c r="N101" s="168">
        <f t="shared" ref="N101:N107" si="39">IF(V101="weekly", (T101*52)/12, IF(V101="bi-weekly", (T101*26)/12, IF(V101="semi-monthly", (T101*24)/12, IF(V101="monthly", T101, IF(V101="quarterly", T101/3, IF(V101="annually", T101/12, T101))))))</f>
        <v>0</v>
      </c>
      <c r="O101" s="236" t="s">
        <v>430</v>
      </c>
      <c r="P101" s="236"/>
      <c r="Q101" s="236"/>
      <c r="R101" s="236"/>
      <c r="S101" s="236"/>
      <c r="T101" s="271"/>
      <c r="U101" s="271"/>
      <c r="V101" s="238" t="s">
        <v>71</v>
      </c>
      <c r="W101" s="238"/>
      <c r="X101" s="47" t="str">
        <f>IF(OR(M108&gt;3,W209="Yes"), "", IF(OR(M108&gt;0,M96&gt;0,M128&gt;0)," For all of these clothing", ""))</f>
        <v/>
      </c>
      <c r="Y101" s="86"/>
      <c r="Z101" s="86"/>
      <c r="AA101" s="86"/>
      <c r="AB101" s="86"/>
      <c r="AC101" s="86"/>
      <c r="AD101" s="86"/>
      <c r="AE101" s="86"/>
      <c r="AF101" s="86"/>
      <c r="AG101" s="86"/>
      <c r="AH101" s="86"/>
      <c r="AI101" s="86"/>
      <c r="AJ101" s="9"/>
      <c r="AK101" s="9"/>
      <c r="AL101" s="9"/>
      <c r="AM101" s="9"/>
      <c r="AN101" s="9"/>
      <c r="AO101" s="9"/>
      <c r="AP101" s="9"/>
      <c r="AQ101" s="6"/>
      <c r="AR101" s="8"/>
      <c r="AS101" s="8"/>
      <c r="AT101" s="8"/>
      <c r="AU101" s="8"/>
      <c r="AV101" s="8"/>
      <c r="AW101" s="8"/>
      <c r="AX101" s="8"/>
      <c r="AY101" s="8"/>
      <c r="AZ101" s="8"/>
      <c r="BA101" s="8"/>
      <c r="BB101" s="8"/>
      <c r="BC101" s="8"/>
      <c r="BD101" s="8"/>
      <c r="BE101" s="8"/>
      <c r="BF101" s="8"/>
      <c r="BG101" s="8"/>
      <c r="BH101" s="8"/>
      <c r="BI101" s="8"/>
    </row>
    <row r="102" spans="1:61" s="7" customFormat="1" x14ac:dyDescent="0.2">
      <c r="A102" s="118"/>
      <c r="B102" s="118" t="str">
        <f t="shared" si="37"/>
        <v>monthly</v>
      </c>
      <c r="C102" s="118" t="str">
        <f t="shared" si="36"/>
        <v/>
      </c>
      <c r="D102" s="118" t="s">
        <v>78</v>
      </c>
      <c r="E102" s="118" t="str">
        <f t="shared" si="12"/>
        <v/>
      </c>
      <c r="F102" s="163"/>
      <c r="G102" s="163"/>
      <c r="H102" s="163"/>
      <c r="I102" s="163" t="str">
        <f>CONCATENATE("Clothing for ", IF(N8&gt;1, "Kids", "Child"))</f>
        <v>Clothing for Child</v>
      </c>
      <c r="J102" s="163"/>
      <c r="K102" s="163"/>
      <c r="L102" s="163"/>
      <c r="M102" s="168">
        <f t="shared" si="38"/>
        <v>0</v>
      </c>
      <c r="N102" s="168">
        <f t="shared" si="39"/>
        <v>0</v>
      </c>
      <c r="O102" s="268" t="s">
        <v>183</v>
      </c>
      <c r="P102" s="268"/>
      <c r="Q102" s="268"/>
      <c r="R102" s="268"/>
      <c r="S102" s="268"/>
      <c r="T102" s="239"/>
      <c r="U102" s="239"/>
      <c r="V102" s="240" t="s">
        <v>71</v>
      </c>
      <c r="W102" s="240"/>
      <c r="X102" s="46" t="str">
        <f>IF(OR(M108&gt;3,W209="Yes"), "", IF(OR(M108&gt;0,M96&gt;0,M128&gt;0)," expenses, use these lines to",""))</f>
        <v/>
      </c>
      <c r="Y102" s="86"/>
      <c r="Z102" s="86"/>
      <c r="AA102" s="86"/>
      <c r="AB102" s="86"/>
      <c r="AC102" s="86"/>
      <c r="AD102" s="86"/>
      <c r="AE102" s="86"/>
      <c r="AF102" s="86"/>
      <c r="AG102" s="86"/>
      <c r="AH102" s="86"/>
      <c r="AI102" s="86"/>
      <c r="AJ102" s="9"/>
      <c r="AK102" s="9"/>
      <c r="AL102" s="9"/>
      <c r="AM102" s="9"/>
      <c r="AN102" s="9"/>
      <c r="AO102" s="9"/>
      <c r="AP102" s="9"/>
      <c r="AQ102" s="6"/>
      <c r="AR102" s="8"/>
      <c r="AS102" s="8"/>
      <c r="AT102" s="8"/>
      <c r="AU102" s="8"/>
      <c r="AV102" s="8"/>
      <c r="AW102" s="8"/>
      <c r="AX102" s="8"/>
      <c r="AY102" s="8"/>
      <c r="AZ102" s="8"/>
      <c r="BA102" s="8"/>
      <c r="BB102" s="8"/>
      <c r="BC102" s="8"/>
      <c r="BD102" s="8"/>
      <c r="BE102" s="8"/>
      <c r="BF102" s="8"/>
      <c r="BG102" s="8"/>
      <c r="BH102" s="8"/>
      <c r="BI102" s="8"/>
    </row>
    <row r="103" spans="1:61" s="7" customFormat="1" x14ac:dyDescent="0.2">
      <c r="A103" s="118"/>
      <c r="B103" s="118" t="str">
        <f t="shared" si="37"/>
        <v>monthly</v>
      </c>
      <c r="C103" s="118" t="str">
        <f t="shared" si="36"/>
        <v/>
      </c>
      <c r="D103" s="118" t="s">
        <v>78</v>
      </c>
      <c r="E103" s="118" t="str">
        <f t="shared" si="12"/>
        <v/>
      </c>
      <c r="F103" s="163"/>
      <c r="G103" s="163"/>
      <c r="H103" s="163"/>
      <c r="I103" s="163" t="str">
        <f>CONCATENATE("Shoes for ", IF(N8&gt;1, "Kids", "Child"))</f>
        <v>Shoes for Child</v>
      </c>
      <c r="J103" s="163"/>
      <c r="K103" s="163"/>
      <c r="L103" s="163"/>
      <c r="M103" s="168">
        <f t="shared" si="38"/>
        <v>0</v>
      </c>
      <c r="N103" s="168">
        <f t="shared" si="39"/>
        <v>0</v>
      </c>
      <c r="O103" s="236"/>
      <c r="P103" s="236"/>
      <c r="Q103" s="236"/>
      <c r="R103" s="236"/>
      <c r="S103" s="236"/>
      <c r="T103" s="271"/>
      <c r="U103" s="271"/>
      <c r="V103" s="238" t="s">
        <v>71</v>
      </c>
      <c r="W103" s="238"/>
      <c r="X103" s="47" t="str">
        <f>IF(OR(M108&gt;3,W209="Yes"), "", IF(OR(M108&gt;0,M96&gt;0,M128&gt;0)," allocate money to save each",""))</f>
        <v/>
      </c>
      <c r="Y103" s="86"/>
      <c r="Z103" s="86"/>
      <c r="AA103" s="86"/>
      <c r="AB103" s="86"/>
      <c r="AC103" s="86"/>
      <c r="AD103" s="86"/>
      <c r="AE103" s="86"/>
      <c r="AF103" s="86"/>
      <c r="AG103" s="86"/>
      <c r="AH103" s="86"/>
      <c r="AI103" s="86"/>
      <c r="AJ103" s="9"/>
      <c r="AK103" s="9"/>
      <c r="AL103" s="9"/>
      <c r="AM103" s="9"/>
      <c r="AN103" s="9"/>
      <c r="AO103" s="9"/>
      <c r="AP103" s="9"/>
      <c r="AQ103" s="6"/>
      <c r="AR103" s="8"/>
      <c r="AS103" s="8"/>
      <c r="AT103" s="8"/>
      <c r="AU103" s="8"/>
      <c r="AV103" s="8"/>
      <c r="AW103" s="8"/>
      <c r="AX103" s="8"/>
      <c r="AY103" s="8"/>
      <c r="AZ103" s="8"/>
      <c r="BA103" s="8"/>
      <c r="BB103" s="8"/>
      <c r="BC103" s="8"/>
      <c r="BD103" s="8"/>
      <c r="BE103" s="8"/>
      <c r="BF103" s="8"/>
      <c r="BG103" s="8"/>
      <c r="BH103" s="8"/>
      <c r="BI103" s="8"/>
    </row>
    <row r="104" spans="1:61" s="7" customFormat="1" x14ac:dyDescent="0.2">
      <c r="A104" s="118"/>
      <c r="B104" s="118" t="str">
        <f t="shared" si="37"/>
        <v>monthly</v>
      </c>
      <c r="C104" s="118" t="str">
        <f t="shared" si="36"/>
        <v/>
      </c>
      <c r="D104" s="118" t="s">
        <v>78</v>
      </c>
      <c r="E104" s="118" t="str">
        <f t="shared" si="12"/>
        <v/>
      </c>
      <c r="F104" s="163"/>
      <c r="G104" s="163"/>
      <c r="H104" s="163"/>
      <c r="I104" s="163"/>
      <c r="J104" s="163"/>
      <c r="K104" s="163"/>
      <c r="L104" s="163"/>
      <c r="M104" s="168">
        <f t="shared" si="38"/>
        <v>0</v>
      </c>
      <c r="N104" s="168">
        <f t="shared" si="39"/>
        <v>0</v>
      </c>
      <c r="O104" s="268"/>
      <c r="P104" s="268"/>
      <c r="Q104" s="268"/>
      <c r="R104" s="268"/>
      <c r="S104" s="268"/>
      <c r="T104" s="239"/>
      <c r="U104" s="239"/>
      <c r="V104" s="240" t="s">
        <v>71</v>
      </c>
      <c r="W104" s="240"/>
      <c r="X104" s="46" t="str">
        <f>IF(OR(M108&gt;3,W209="Yes"), "", IF(OR(M108&gt;0,M96&gt;0,M128&gt;0)," month for when you need to",""))</f>
        <v/>
      </c>
      <c r="Y104" s="86"/>
      <c r="Z104" s="86"/>
      <c r="AA104" s="86"/>
      <c r="AB104" s="86"/>
      <c r="AC104" s="86"/>
      <c r="AD104" s="86"/>
      <c r="AE104" s="86"/>
      <c r="AF104" s="86"/>
      <c r="AG104" s="86"/>
      <c r="AH104" s="86"/>
      <c r="AI104" s="76"/>
      <c r="AJ104" s="9"/>
      <c r="AK104" s="9"/>
      <c r="AL104" s="9"/>
      <c r="AM104" s="9"/>
      <c r="AN104" s="9"/>
      <c r="AO104" s="9"/>
      <c r="AP104" s="9"/>
      <c r="AQ104" s="6"/>
      <c r="AR104" s="8"/>
      <c r="AS104" s="8"/>
      <c r="AT104" s="8"/>
      <c r="AU104" s="8"/>
      <c r="AV104" s="8"/>
      <c r="AW104" s="8"/>
      <c r="AX104" s="8"/>
      <c r="AY104" s="8"/>
      <c r="AZ104" s="8"/>
      <c r="BA104" s="8"/>
      <c r="BB104" s="8"/>
      <c r="BC104" s="8"/>
      <c r="BD104" s="8"/>
      <c r="BE104" s="8"/>
      <c r="BF104" s="8"/>
      <c r="BG104" s="8"/>
      <c r="BH104" s="8"/>
      <c r="BI104" s="8"/>
    </row>
    <row r="105" spans="1:61" s="7" customFormat="1" x14ac:dyDescent="0.2">
      <c r="A105" s="118"/>
      <c r="B105" s="118" t="str">
        <f t="shared" si="37"/>
        <v>monthly</v>
      </c>
      <c r="C105" s="118" t="str">
        <f t="shared" si="36"/>
        <v/>
      </c>
      <c r="D105" s="118" t="s">
        <v>78</v>
      </c>
      <c r="E105" s="118" t="str">
        <f t="shared" si="12"/>
        <v/>
      </c>
      <c r="F105" s="163"/>
      <c r="G105" s="163"/>
      <c r="H105" s="163"/>
      <c r="I105" s="163"/>
      <c r="J105" s="163"/>
      <c r="K105" s="163"/>
      <c r="L105" s="163"/>
      <c r="M105" s="168">
        <f t="shared" si="38"/>
        <v>0</v>
      </c>
      <c r="N105" s="168">
        <f t="shared" si="39"/>
        <v>0</v>
      </c>
      <c r="O105" s="236"/>
      <c r="P105" s="236"/>
      <c r="Q105" s="236"/>
      <c r="R105" s="236"/>
      <c r="S105" s="236"/>
      <c r="T105" s="271"/>
      <c r="U105" s="271"/>
      <c r="V105" s="238" t="s">
        <v>71</v>
      </c>
      <c r="W105" s="238"/>
      <c r="X105" s="47" t="str">
        <f>IF(OR(M108&gt;3,W209="Yes"), "", IF(OR(M108&gt;0,M96&gt;0,M128&gt;0)," buy these items.",""))</f>
        <v/>
      </c>
      <c r="Y105" s="86"/>
      <c r="Z105" s="86"/>
      <c r="AA105" s="86"/>
      <c r="AB105" s="86"/>
      <c r="AC105" s="86"/>
      <c r="AD105" s="86"/>
      <c r="AE105" s="86"/>
      <c r="AF105" s="86"/>
      <c r="AG105" s="86"/>
      <c r="AH105" s="86"/>
      <c r="AI105" s="76"/>
      <c r="AJ105" s="9"/>
      <c r="AK105" s="9"/>
      <c r="AL105" s="9"/>
      <c r="AM105" s="9"/>
      <c r="AN105" s="9"/>
      <c r="AO105" s="9"/>
      <c r="AP105" s="9"/>
      <c r="AQ105" s="6"/>
      <c r="AR105" s="8"/>
      <c r="AS105" s="8"/>
      <c r="AT105" s="8"/>
      <c r="AU105" s="8"/>
      <c r="AV105" s="8"/>
      <c r="AW105" s="8"/>
      <c r="AX105" s="8"/>
      <c r="AY105" s="8"/>
      <c r="AZ105" s="8"/>
      <c r="BA105" s="8"/>
      <c r="BB105" s="8"/>
      <c r="BC105" s="8"/>
      <c r="BD105" s="8"/>
      <c r="BE105" s="8"/>
      <c r="BF105" s="8"/>
      <c r="BG105" s="8"/>
      <c r="BH105" s="8"/>
      <c r="BI105" s="8"/>
    </row>
    <row r="106" spans="1:61" s="7" customFormat="1" x14ac:dyDescent="0.2">
      <c r="A106" s="118"/>
      <c r="B106" s="118" t="str">
        <f t="shared" si="37"/>
        <v>monthly</v>
      </c>
      <c r="C106" s="118" t="str">
        <f t="shared" si="36"/>
        <v/>
      </c>
      <c r="D106" s="118" t="s">
        <v>78</v>
      </c>
      <c r="E106" s="118" t="str">
        <f t="shared" si="12"/>
        <v/>
      </c>
      <c r="F106" s="163"/>
      <c r="G106" s="163"/>
      <c r="H106" s="163"/>
      <c r="I106" s="163"/>
      <c r="J106" s="163"/>
      <c r="K106" s="163"/>
      <c r="L106" s="163"/>
      <c r="M106" s="168">
        <f t="shared" si="38"/>
        <v>0</v>
      </c>
      <c r="N106" s="168">
        <f t="shared" si="39"/>
        <v>0</v>
      </c>
      <c r="O106" s="268"/>
      <c r="P106" s="268"/>
      <c r="Q106" s="268"/>
      <c r="R106" s="268"/>
      <c r="S106" s="268"/>
      <c r="T106" s="239"/>
      <c r="U106" s="239"/>
      <c r="V106" s="240" t="s">
        <v>71</v>
      </c>
      <c r="W106" s="240"/>
      <c r="X106" s="46"/>
      <c r="Y106" s="86"/>
      <c r="Z106" s="86"/>
      <c r="AA106" s="86"/>
      <c r="AB106" s="86"/>
      <c r="AC106" s="86"/>
      <c r="AD106" s="86"/>
      <c r="AE106" s="86"/>
      <c r="AF106" s="86"/>
      <c r="AG106" s="86"/>
      <c r="AH106" s="86"/>
      <c r="AI106" s="76"/>
      <c r="AJ106" s="9"/>
      <c r="AK106" s="9"/>
      <c r="AL106" s="9"/>
      <c r="AM106" s="9"/>
      <c r="AN106" s="9"/>
      <c r="AO106" s="9"/>
      <c r="AP106" s="9"/>
      <c r="AQ106" s="6"/>
      <c r="AR106" s="8"/>
      <c r="AS106" s="8"/>
      <c r="AT106" s="8"/>
      <c r="AU106" s="8"/>
      <c r="AV106" s="8"/>
      <c r="AW106" s="8"/>
      <c r="AX106" s="8"/>
      <c r="AY106" s="8"/>
      <c r="AZ106" s="8"/>
      <c r="BA106" s="8"/>
      <c r="BB106" s="8"/>
      <c r="BC106" s="8"/>
      <c r="BD106" s="8"/>
      <c r="BE106" s="8"/>
      <c r="BF106" s="8"/>
      <c r="BG106" s="8"/>
      <c r="BH106" s="8"/>
      <c r="BI106" s="8"/>
    </row>
    <row r="107" spans="1:61" s="7" customFormat="1" x14ac:dyDescent="0.2">
      <c r="A107" s="118"/>
      <c r="B107" s="118" t="str">
        <f t="shared" si="37"/>
        <v>monthly</v>
      </c>
      <c r="C107" s="118" t="str">
        <f t="shared" si="36"/>
        <v/>
      </c>
      <c r="D107" s="118" t="s">
        <v>78</v>
      </c>
      <c r="E107" s="118" t="str">
        <f t="shared" ref="E107:E170" si="40">C107</f>
        <v/>
      </c>
      <c r="F107" s="163"/>
      <c r="G107" s="163"/>
      <c r="H107" s="163"/>
      <c r="I107" s="163"/>
      <c r="J107" s="163"/>
      <c r="K107" s="163"/>
      <c r="L107" s="163"/>
      <c r="M107" s="168">
        <f t="shared" si="38"/>
        <v>0</v>
      </c>
      <c r="N107" s="168">
        <f t="shared" si="39"/>
        <v>0</v>
      </c>
      <c r="O107" s="235"/>
      <c r="P107" s="235"/>
      <c r="Q107" s="235"/>
      <c r="R107" s="235"/>
      <c r="S107" s="235"/>
      <c r="T107" s="245"/>
      <c r="U107" s="245"/>
      <c r="V107" s="238" t="s">
        <v>71</v>
      </c>
      <c r="W107" s="238"/>
      <c r="X107" s="45"/>
      <c r="Y107" s="86"/>
      <c r="Z107" s="86"/>
      <c r="AA107" s="86"/>
      <c r="AB107" s="86"/>
      <c r="AC107" s="86"/>
      <c r="AD107" s="86"/>
      <c r="AE107" s="86"/>
      <c r="AF107" s="86"/>
      <c r="AG107" s="86"/>
      <c r="AH107" s="86"/>
      <c r="AI107" s="76"/>
      <c r="AJ107" s="9"/>
      <c r="AK107" s="9"/>
      <c r="AL107" s="9"/>
      <c r="AM107" s="9"/>
      <c r="AN107" s="9"/>
      <c r="AO107" s="9"/>
      <c r="AP107" s="9"/>
      <c r="AQ107" s="6"/>
      <c r="AR107" s="8"/>
      <c r="AS107" s="8"/>
      <c r="AT107" s="8"/>
      <c r="AU107" s="8"/>
      <c r="AV107" s="8"/>
      <c r="AW107" s="8"/>
      <c r="AX107" s="8"/>
      <c r="AY107" s="8"/>
      <c r="AZ107" s="8"/>
      <c r="BA107" s="8"/>
      <c r="BB107" s="8"/>
      <c r="BC107" s="8"/>
      <c r="BD107" s="8"/>
      <c r="BE107" s="8"/>
      <c r="BF107" s="8"/>
      <c r="BG107" s="8"/>
      <c r="BH107" s="8"/>
      <c r="BI107" s="8"/>
    </row>
    <row r="108" spans="1:61" s="7" customFormat="1" ht="17.25" customHeight="1" x14ac:dyDescent="0.2">
      <c r="A108" s="118"/>
      <c r="B108" s="118"/>
      <c r="C108" s="118"/>
      <c r="D108" s="118"/>
      <c r="E108" s="118"/>
      <c r="F108" s="163"/>
      <c r="G108" s="163"/>
      <c r="H108" s="163"/>
      <c r="I108" s="163"/>
      <c r="J108" s="163"/>
      <c r="K108" s="163"/>
      <c r="L108" s="168">
        <f>IF(X101=" For all of these clothing", 1, 0)</f>
        <v>0</v>
      </c>
      <c r="M108" s="168">
        <f>SUM(M100:M107)</f>
        <v>0</v>
      </c>
      <c r="N108" s="168"/>
      <c r="O108" s="264" t="str">
        <f>IF(T12="On", IF(M108=0, "CLOTHING TOTAL", IF((T108/T37)&gt;0.05, "Your CLOTHING TOTAL of", "CLOTHING TOTAL")), "CLOTHING TOTAL")</f>
        <v>CLOTHING TOTAL</v>
      </c>
      <c r="P108" s="264"/>
      <c r="Q108" s="264"/>
      <c r="R108" s="264"/>
      <c r="S108" s="264"/>
      <c r="T108" s="275">
        <f>SUM(N100:N107)</f>
        <v>0</v>
      </c>
      <c r="U108" s="275"/>
      <c r="V108" s="33" t="e">
        <f>IF(T12="On", T108/T37, "")</f>
        <v>#DIV/0!</v>
      </c>
      <c r="W108" s="282" t="str">
        <f>IF(T12="On", IF(M108=0, "", IF((T108/T37)&gt;1, " is greater than your income", IF((T108/T37)&gt;0.05, " is greater than 5% of your income",  ""))), "")</f>
        <v/>
      </c>
      <c r="X108" s="282"/>
      <c r="Y108" s="86"/>
      <c r="Z108" s="86"/>
      <c r="AA108" s="86"/>
      <c r="AB108" s="86"/>
      <c r="AC108" s="86"/>
      <c r="AD108" s="86"/>
      <c r="AE108" s="86"/>
      <c r="AF108" s="86"/>
      <c r="AG108" s="86"/>
      <c r="AH108" s="86"/>
      <c r="AI108" s="76"/>
      <c r="AJ108" s="9"/>
      <c r="AK108" s="9"/>
      <c r="AL108" s="9"/>
      <c r="AM108" s="9"/>
      <c r="AN108" s="9"/>
      <c r="AO108" s="9"/>
      <c r="AP108" s="9"/>
      <c r="AQ108" s="6"/>
      <c r="AR108" s="8"/>
      <c r="AS108" s="8"/>
      <c r="AT108" s="8"/>
      <c r="AU108" s="8"/>
      <c r="AV108" s="8"/>
      <c r="AW108" s="8"/>
      <c r="AX108" s="8"/>
      <c r="AY108" s="8"/>
      <c r="AZ108" s="8"/>
      <c r="BA108" s="8"/>
      <c r="BB108" s="8"/>
      <c r="BC108" s="8"/>
      <c r="BD108" s="8"/>
      <c r="BE108" s="8"/>
      <c r="BF108" s="8"/>
      <c r="BG108" s="8"/>
      <c r="BH108" s="8"/>
      <c r="BI108" s="8"/>
    </row>
    <row r="109" spans="1:61" s="7" customFormat="1" ht="32.1" customHeight="1" x14ac:dyDescent="0.2">
      <c r="A109" s="118"/>
      <c r="B109" s="118"/>
      <c r="C109" s="118"/>
      <c r="D109" s="118"/>
      <c r="E109" s="118"/>
      <c r="F109" s="163"/>
      <c r="G109" s="163"/>
      <c r="H109" s="163"/>
      <c r="I109" s="163"/>
      <c r="J109" s="163"/>
      <c r="K109" s="163"/>
      <c r="L109" s="163"/>
      <c r="M109" s="168"/>
      <c r="N109" s="168"/>
      <c r="O109" s="246" t="str">
        <f>IF(T12="On", IF(M108=0, "", IF((T108/T37)&gt;1,"Wow, that's a lot of clothes! Are you sure you want to spend this much?", IF((T108/T37)&gt;0.1,"Your spending on this category is high. Most people don't need to spend more than 5% of their income on clothing.", IF((T108/T37)&gt;0.05,"Your spending on this category is a little high. Most people don't need to spend more than 5% of their income on clothing.",IF((T108/T37)&lt;0.015,"Your spending on clothing is unusually low. We usually suggest allocating at least 3% of your budget for this category.",IF((T108/T37)&lt;0.03,"Your spending on clothing is low. It's usually a good idea to allocate at least 3% of your budget for this category.","")))))), "")</f>
        <v/>
      </c>
      <c r="P109" s="246"/>
      <c r="Q109" s="246"/>
      <c r="R109" s="246"/>
      <c r="S109" s="246"/>
      <c r="T109" s="246"/>
      <c r="U109" s="246"/>
      <c r="V109" s="246"/>
      <c r="W109" s="246"/>
      <c r="X109" s="246"/>
      <c r="Y109" s="86"/>
      <c r="Z109" s="86"/>
      <c r="AA109" s="86"/>
      <c r="AB109" s="86"/>
      <c r="AC109" s="86"/>
      <c r="AD109" s="86"/>
      <c r="AE109" s="86"/>
      <c r="AF109" s="86"/>
      <c r="AG109" s="86"/>
      <c r="AH109" s="86"/>
      <c r="AI109" s="76"/>
      <c r="AJ109" s="9"/>
      <c r="AK109" s="9"/>
      <c r="AL109" s="9"/>
      <c r="AM109" s="9"/>
      <c r="AN109" s="9"/>
      <c r="AO109" s="9"/>
      <c r="AP109" s="9"/>
      <c r="AQ109" s="6"/>
      <c r="AR109" s="8"/>
      <c r="AS109" s="8"/>
      <c r="AT109" s="8"/>
      <c r="AU109" s="8"/>
      <c r="AV109" s="8"/>
      <c r="AW109" s="8"/>
      <c r="AX109" s="8"/>
      <c r="AY109" s="8"/>
      <c r="AZ109" s="8"/>
      <c r="BA109" s="8"/>
      <c r="BB109" s="8"/>
      <c r="BC109" s="8"/>
      <c r="BD109" s="8"/>
      <c r="BE109" s="8"/>
      <c r="BF109" s="8"/>
      <c r="BG109" s="8"/>
      <c r="BH109" s="8"/>
      <c r="BI109" s="8"/>
    </row>
    <row r="110" spans="1:61" s="11" customFormat="1" ht="17.25" customHeight="1" x14ac:dyDescent="0.2">
      <c r="A110" s="188"/>
      <c r="B110" s="118"/>
      <c r="C110" s="118"/>
      <c r="D110" s="118"/>
      <c r="E110" s="118"/>
      <c r="F110" s="169"/>
      <c r="G110" s="169"/>
      <c r="H110" s="169"/>
      <c r="I110" s="169"/>
      <c r="J110" s="169"/>
      <c r="K110" s="169" t="s">
        <v>81</v>
      </c>
      <c r="L110" s="169" t="s">
        <v>150</v>
      </c>
      <c r="M110" s="192" t="str">
        <f>CONCATENATE("In Canada, it's normal to expect medial expenses to be around ",V261*100,"% of your income. For your budget, ")</f>
        <v xml:space="preserve">In Canada, it's normal to expect medial expenses to be around 3% of your income. For your budget, </v>
      </c>
      <c r="N110" s="170">
        <f>ROUND(T37*V261,0)</f>
        <v>0</v>
      </c>
      <c r="O110" s="253" t="s">
        <v>22</v>
      </c>
      <c r="P110" s="253"/>
      <c r="Q110" s="253"/>
      <c r="R110" s="253"/>
      <c r="S110" s="253"/>
      <c r="T110" s="253"/>
      <c r="U110" s="253"/>
      <c r="V110" s="253"/>
      <c r="W110" s="253"/>
      <c r="X110" s="253"/>
      <c r="Y110" s="84"/>
      <c r="Z110" s="84"/>
      <c r="AA110" s="312" t="s">
        <v>303</v>
      </c>
      <c r="AB110" s="312"/>
      <c r="AC110" s="312"/>
      <c r="AD110" s="312"/>
      <c r="AE110" s="312"/>
      <c r="AF110" s="312"/>
      <c r="AG110" s="312"/>
      <c r="AH110" s="312"/>
      <c r="AI110" s="84"/>
      <c r="AJ110" s="23"/>
      <c r="AK110" s="23"/>
      <c r="AL110" s="23"/>
      <c r="AM110" s="23"/>
      <c r="AN110" s="23"/>
      <c r="AO110" s="23"/>
      <c r="AP110" s="23"/>
      <c r="AQ110" s="10"/>
      <c r="AR110" s="12"/>
      <c r="AS110" s="12"/>
      <c r="AT110" s="12"/>
      <c r="AU110" s="12"/>
      <c r="AV110" s="12"/>
      <c r="AW110" s="12"/>
      <c r="AX110" s="12"/>
      <c r="AY110" s="12"/>
      <c r="AZ110" s="12"/>
      <c r="BA110" s="12"/>
      <c r="BB110" s="12"/>
      <c r="BC110" s="12"/>
      <c r="BD110" s="12"/>
      <c r="BE110" s="12"/>
      <c r="BF110" s="12"/>
      <c r="BG110" s="12"/>
      <c r="BH110" s="12"/>
      <c r="BI110" s="12"/>
    </row>
    <row r="111" spans="1:61" s="11" customFormat="1" ht="42" customHeight="1" x14ac:dyDescent="0.2">
      <c r="A111" s="188"/>
      <c r="B111" s="118"/>
      <c r="C111" s="118"/>
      <c r="D111" s="118"/>
      <c r="E111" s="118"/>
      <c r="F111" s="169"/>
      <c r="G111" s="169"/>
      <c r="H111" s="169"/>
      <c r="I111" s="169"/>
      <c r="J111" s="169"/>
      <c r="K111" s="169"/>
      <c r="L111" s="169" t="s">
        <v>150</v>
      </c>
      <c r="M111" s="192"/>
      <c r="N111" s="170"/>
      <c r="O111" s="260" t="str">
        <f>IF(T12="On", IF(T37=0, CONCATENATE("In Canada, you can expect medical expenses to be around ",V261*100,"% of your income."), IF(T37&gt;0, IF(OR(T4="First Name",T4=""), CONCATENATE(M110,L111,N110,K110), CONCATENATE(M110,L110,N110,K110)), CONCATENATE("In Canada, you can expect medial expenses to be around ",V261*100,"% of your income."))), "")</f>
        <v>In Canada, you can expect medical expenses to be around 3% of your income.</v>
      </c>
      <c r="P111" s="260"/>
      <c r="Q111" s="260"/>
      <c r="R111" s="260"/>
      <c r="S111" s="260"/>
      <c r="T111" s="243" t="s">
        <v>80</v>
      </c>
      <c r="U111" s="243"/>
      <c r="V111" s="263" t="s">
        <v>79</v>
      </c>
      <c r="W111" s="263"/>
      <c r="X111" s="133" t="s">
        <v>40</v>
      </c>
      <c r="Y111" s="84"/>
      <c r="Z111" s="84"/>
      <c r="AA111" s="233" t="s">
        <v>302</v>
      </c>
      <c r="AB111" s="233"/>
      <c r="AC111" s="233"/>
      <c r="AD111" s="233"/>
      <c r="AE111" s="233"/>
      <c r="AF111" s="233"/>
      <c r="AG111" s="233"/>
      <c r="AH111" s="233"/>
      <c r="AI111" s="84"/>
      <c r="AJ111" s="23"/>
      <c r="AK111" s="23"/>
      <c r="AL111" s="23"/>
      <c r="AM111" s="23"/>
      <c r="AN111" s="23"/>
      <c r="AO111" s="23"/>
      <c r="AP111" s="23"/>
      <c r="AQ111" s="10"/>
      <c r="AR111" s="12"/>
      <c r="AS111" s="12"/>
      <c r="AT111" s="12"/>
      <c r="AU111" s="12"/>
      <c r="AV111" s="12"/>
      <c r="AW111" s="12"/>
      <c r="AX111" s="12"/>
      <c r="AY111" s="12"/>
      <c r="AZ111" s="12"/>
      <c r="BA111" s="12"/>
      <c r="BB111" s="12"/>
      <c r="BC111" s="12"/>
      <c r="BD111" s="12"/>
      <c r="BE111" s="12"/>
      <c r="BF111" s="12"/>
      <c r="BG111" s="12"/>
      <c r="BH111" s="12"/>
      <c r="BI111" s="12"/>
    </row>
    <row r="112" spans="1:61" s="7" customFormat="1" x14ac:dyDescent="0.2">
      <c r="A112" s="118"/>
      <c r="B112" s="118"/>
      <c r="C112" s="118"/>
      <c r="D112" s="118"/>
      <c r="E112" s="118"/>
      <c r="F112" s="163"/>
      <c r="G112" s="163"/>
      <c r="H112" s="163"/>
      <c r="I112" s="163" t="s">
        <v>125</v>
      </c>
      <c r="J112" s="163"/>
      <c r="K112" s="163"/>
      <c r="L112" s="163"/>
      <c r="M112" s="168">
        <f>COUNTIF(T112,"&gt;0")</f>
        <v>0</v>
      </c>
      <c r="N112" s="168">
        <f>IF(V112="weekly", (T112*52)/12, IF(V112="bi-weekly", (T112*26)/12, IF(V112="semi-monthly", (T112*24)/12, IF(V112="monthly", T112, IF(V112="quarterly", T112/3, IF(V112="annually", T112/12, T112))))))</f>
        <v>0</v>
      </c>
      <c r="O112" s="261" t="s">
        <v>395</v>
      </c>
      <c r="P112" s="261"/>
      <c r="Q112" s="261"/>
      <c r="R112" s="261"/>
      <c r="S112" s="261"/>
      <c r="T112" s="261"/>
      <c r="U112" s="261"/>
      <c r="V112" s="261"/>
      <c r="W112" s="261"/>
      <c r="X112" s="261"/>
      <c r="Y112" s="76"/>
      <c r="Z112" s="76"/>
      <c r="AA112" s="233"/>
      <c r="AB112" s="233"/>
      <c r="AC112" s="233"/>
      <c r="AD112" s="233"/>
      <c r="AE112" s="233"/>
      <c r="AF112" s="233"/>
      <c r="AG112" s="233"/>
      <c r="AH112" s="233"/>
      <c r="AI112" s="76"/>
      <c r="AJ112" s="9"/>
      <c r="AK112" s="9"/>
      <c r="AL112" s="9"/>
      <c r="AM112" s="9"/>
      <c r="AN112" s="9"/>
      <c r="AO112" s="9"/>
      <c r="AP112" s="9"/>
      <c r="AQ112" s="6"/>
      <c r="AR112" s="8"/>
      <c r="AS112" s="8"/>
      <c r="AT112" s="8"/>
      <c r="AU112" s="8"/>
      <c r="AV112" s="8"/>
      <c r="AW112" s="8"/>
      <c r="AX112" s="8"/>
      <c r="AY112" s="8"/>
      <c r="AZ112" s="8"/>
      <c r="BA112" s="8"/>
      <c r="BB112" s="8"/>
      <c r="BC112" s="8"/>
      <c r="BD112" s="8"/>
      <c r="BE112" s="8"/>
      <c r="BF112" s="8"/>
      <c r="BG112" s="8"/>
      <c r="BH112" s="8"/>
      <c r="BI112" s="8"/>
    </row>
    <row r="113" spans="1:61" s="7" customFormat="1" ht="12.75" customHeight="1" x14ac:dyDescent="0.2">
      <c r="A113" s="118"/>
      <c r="B113" s="118" t="str">
        <f t="shared" ref="B113:B120" si="41">V113</f>
        <v>monthly</v>
      </c>
      <c r="C113" s="118" t="str">
        <f t="shared" si="36"/>
        <v/>
      </c>
      <c r="D113" s="118" t="s">
        <v>78</v>
      </c>
      <c r="E113" s="118" t="str">
        <f t="shared" si="40"/>
        <v/>
      </c>
      <c r="F113" s="163"/>
      <c r="G113" s="163"/>
      <c r="H113" s="163"/>
      <c r="I113" s="163" t="s">
        <v>126</v>
      </c>
      <c r="J113" s="163"/>
      <c r="K113" s="163"/>
      <c r="L113" s="163"/>
      <c r="M113" s="168">
        <f t="shared" ref="M113:M127" si="42">COUNTIF(T113,"&gt;0")</f>
        <v>0</v>
      </c>
      <c r="N113" s="168">
        <f t="shared" ref="N113:N127" si="43">IF(V113="weekly", (T113*52)/12, IF(V113="bi-weekly", (T113*26)/12, IF(V113="semi-monthly", (T113*24)/12, IF(V113="monthly", T113, IF(V113="quarterly", T113/3, IF(V113="annually", T113/12, T113))))))</f>
        <v>0</v>
      </c>
      <c r="O113" s="270" t="s">
        <v>125</v>
      </c>
      <c r="P113" s="270"/>
      <c r="Q113" s="270"/>
      <c r="R113" s="270"/>
      <c r="S113" s="270"/>
      <c r="T113" s="271"/>
      <c r="U113" s="271"/>
      <c r="V113" s="238" t="s">
        <v>71</v>
      </c>
      <c r="W113" s="238"/>
      <c r="X113" s="45"/>
      <c r="Y113" s="76"/>
      <c r="Z113" s="76"/>
      <c r="AA113" s="233" t="s">
        <v>304</v>
      </c>
      <c r="AB113" s="233"/>
      <c r="AC113" s="233"/>
      <c r="AD113" s="233"/>
      <c r="AE113" s="233"/>
      <c r="AF113" s="233"/>
      <c r="AG113" s="233"/>
      <c r="AH113" s="233"/>
      <c r="AI113" s="76"/>
      <c r="AJ113" s="9"/>
      <c r="AK113" s="9"/>
      <c r="AL113" s="9"/>
      <c r="AM113" s="9"/>
      <c r="AN113" s="9"/>
      <c r="AO113" s="9"/>
      <c r="AP113" s="9"/>
      <c r="AQ113" s="6"/>
      <c r="AR113" s="8"/>
      <c r="AS113" s="8"/>
      <c r="AT113" s="8"/>
      <c r="AU113" s="8"/>
      <c r="AV113" s="8"/>
      <c r="AW113" s="8"/>
      <c r="AX113" s="8"/>
      <c r="AY113" s="8"/>
      <c r="AZ113" s="8"/>
      <c r="BA113" s="8"/>
      <c r="BB113" s="8"/>
      <c r="BC113" s="8"/>
      <c r="BD113" s="8"/>
      <c r="BE113" s="8"/>
      <c r="BF113" s="8"/>
      <c r="BG113" s="8"/>
      <c r="BH113" s="8"/>
      <c r="BI113" s="8"/>
    </row>
    <row r="114" spans="1:61" s="7" customFormat="1" x14ac:dyDescent="0.2">
      <c r="A114" s="118"/>
      <c r="B114" s="118" t="str">
        <f t="shared" si="41"/>
        <v>monthly</v>
      </c>
      <c r="C114" s="118" t="str">
        <f t="shared" si="36"/>
        <v/>
      </c>
      <c r="D114" s="118" t="s">
        <v>78</v>
      </c>
      <c r="E114" s="118" t="str">
        <f t="shared" si="40"/>
        <v/>
      </c>
      <c r="F114" s="163"/>
      <c r="G114" s="163"/>
      <c r="H114" s="163"/>
      <c r="I114" s="163" t="s">
        <v>184</v>
      </c>
      <c r="J114" s="163"/>
      <c r="K114" s="163"/>
      <c r="L114" s="163"/>
      <c r="M114" s="168">
        <f t="shared" si="42"/>
        <v>0</v>
      </c>
      <c r="N114" s="168">
        <f t="shared" si="43"/>
        <v>0</v>
      </c>
      <c r="O114" s="268" t="s">
        <v>126</v>
      </c>
      <c r="P114" s="268"/>
      <c r="Q114" s="268"/>
      <c r="R114" s="268"/>
      <c r="S114" s="268"/>
      <c r="T114" s="239"/>
      <c r="U114" s="239"/>
      <c r="V114" s="240" t="s">
        <v>71</v>
      </c>
      <c r="W114" s="240"/>
      <c r="X114" s="44"/>
      <c r="Y114" s="76"/>
      <c r="Z114" s="76"/>
      <c r="AA114" s="233"/>
      <c r="AB114" s="233"/>
      <c r="AC114" s="233"/>
      <c r="AD114" s="233"/>
      <c r="AE114" s="233"/>
      <c r="AF114" s="233"/>
      <c r="AG114" s="233"/>
      <c r="AH114" s="233"/>
      <c r="AI114" s="76"/>
      <c r="AJ114" s="9"/>
      <c r="AK114" s="9"/>
      <c r="AL114" s="9"/>
      <c r="AM114" s="9"/>
      <c r="AN114" s="9"/>
      <c r="AO114" s="9"/>
      <c r="AP114" s="9"/>
      <c r="AQ114" s="6"/>
      <c r="AR114" s="8"/>
      <c r="AS114" s="8"/>
      <c r="AT114" s="8"/>
      <c r="AU114" s="8"/>
      <c r="AV114" s="8"/>
      <c r="AW114" s="8"/>
      <c r="AX114" s="8"/>
      <c r="AY114" s="8"/>
      <c r="AZ114" s="8"/>
      <c r="BA114" s="8"/>
      <c r="BB114" s="8"/>
      <c r="BC114" s="8"/>
      <c r="BD114" s="8"/>
      <c r="BE114" s="8"/>
      <c r="BF114" s="8"/>
      <c r="BG114" s="8"/>
      <c r="BH114" s="8"/>
      <c r="BI114" s="8"/>
    </row>
    <row r="115" spans="1:61" s="7" customFormat="1" x14ac:dyDescent="0.2">
      <c r="A115" s="118"/>
      <c r="B115" s="118" t="str">
        <f t="shared" si="41"/>
        <v>monthly</v>
      </c>
      <c r="C115" s="118" t="str">
        <f t="shared" si="36"/>
        <v/>
      </c>
      <c r="D115" s="118" t="s">
        <v>78</v>
      </c>
      <c r="E115" s="118" t="str">
        <f t="shared" si="40"/>
        <v/>
      </c>
      <c r="F115" s="163"/>
      <c r="G115" s="163"/>
      <c r="H115" s="163"/>
      <c r="I115" s="163" t="s">
        <v>1</v>
      </c>
      <c r="J115" s="163"/>
      <c r="K115" s="163"/>
      <c r="L115" s="163"/>
      <c r="M115" s="168">
        <f t="shared" si="42"/>
        <v>0</v>
      </c>
      <c r="N115" s="168">
        <f t="shared" si="43"/>
        <v>0</v>
      </c>
      <c r="O115" s="270" t="s">
        <v>184</v>
      </c>
      <c r="P115" s="270"/>
      <c r="Q115" s="270"/>
      <c r="R115" s="270"/>
      <c r="S115" s="270"/>
      <c r="T115" s="271"/>
      <c r="U115" s="271"/>
      <c r="V115" s="238" t="s">
        <v>71</v>
      </c>
      <c r="W115" s="238"/>
      <c r="X115" s="47" t="str">
        <f>IF(AND(OR(T128&gt;0,T108&gt;0,T172&gt;0),T115=""), "Save monthly for when needed", "")</f>
        <v/>
      </c>
      <c r="Y115" s="76"/>
      <c r="Z115" s="76"/>
      <c r="AA115" s="233"/>
      <c r="AB115" s="233"/>
      <c r="AC115" s="233"/>
      <c r="AD115" s="233"/>
      <c r="AE115" s="233"/>
      <c r="AF115" s="233"/>
      <c r="AG115" s="233"/>
      <c r="AH115" s="233"/>
      <c r="AI115" s="76"/>
      <c r="AJ115" s="9"/>
      <c r="AK115" s="9"/>
      <c r="AL115" s="9"/>
      <c r="AM115" s="9"/>
      <c r="AN115" s="9"/>
      <c r="AO115" s="9"/>
      <c r="AP115" s="9"/>
      <c r="AQ115" s="6"/>
      <c r="AR115" s="8"/>
      <c r="AS115" s="8"/>
      <c r="AT115" s="8"/>
      <c r="AU115" s="8"/>
      <c r="AV115" s="8"/>
      <c r="AW115" s="8"/>
      <c r="AX115" s="8"/>
      <c r="AY115" s="8"/>
      <c r="AZ115" s="8"/>
      <c r="BA115" s="8"/>
      <c r="BB115" s="8"/>
      <c r="BC115" s="8"/>
      <c r="BD115" s="8"/>
      <c r="BE115" s="8"/>
      <c r="BF115" s="8"/>
      <c r="BG115" s="8"/>
      <c r="BH115" s="8"/>
      <c r="BI115" s="8"/>
    </row>
    <row r="116" spans="1:61" s="7" customFormat="1" x14ac:dyDescent="0.2">
      <c r="A116" s="118"/>
      <c r="B116" s="118" t="str">
        <f t="shared" si="41"/>
        <v>monthly</v>
      </c>
      <c r="C116" s="118" t="str">
        <f t="shared" si="36"/>
        <v/>
      </c>
      <c r="D116" s="118" t="s">
        <v>78</v>
      </c>
      <c r="E116" s="118" t="str">
        <f t="shared" si="40"/>
        <v/>
      </c>
      <c r="F116" s="163"/>
      <c r="G116" s="163"/>
      <c r="H116" s="163"/>
      <c r="I116" s="163" t="s">
        <v>185</v>
      </c>
      <c r="J116" s="163"/>
      <c r="K116" s="163"/>
      <c r="L116" s="163"/>
      <c r="M116" s="168">
        <f t="shared" si="42"/>
        <v>0</v>
      </c>
      <c r="N116" s="168">
        <f t="shared" si="43"/>
        <v>0</v>
      </c>
      <c r="O116" s="268" t="s">
        <v>1</v>
      </c>
      <c r="P116" s="268"/>
      <c r="Q116" s="268"/>
      <c r="R116" s="268"/>
      <c r="S116" s="268"/>
      <c r="T116" s="239"/>
      <c r="U116" s="239"/>
      <c r="V116" s="240" t="s">
        <v>71</v>
      </c>
      <c r="W116" s="240"/>
      <c r="X116" s="46" t="str">
        <f>IF(AND(OR(T128&gt;0,T108&gt;0,T172&gt;0),T116=""), "Save monthly for when needed", "")</f>
        <v/>
      </c>
      <c r="Y116" s="76"/>
      <c r="Z116" s="76"/>
      <c r="AA116" s="233"/>
      <c r="AB116" s="233"/>
      <c r="AC116" s="233"/>
      <c r="AD116" s="233"/>
      <c r="AE116" s="233"/>
      <c r="AF116" s="233"/>
      <c r="AG116" s="233"/>
      <c r="AH116" s="233"/>
      <c r="AI116" s="76"/>
      <c r="AJ116" s="9"/>
      <c r="AK116" s="9"/>
      <c r="AL116" s="9"/>
      <c r="AM116" s="9"/>
      <c r="AN116" s="9"/>
      <c r="AO116" s="9"/>
      <c r="AP116" s="9"/>
      <c r="AQ116" s="6"/>
      <c r="AR116" s="8"/>
      <c r="AS116" s="8"/>
      <c r="AT116" s="8"/>
      <c r="AU116" s="8"/>
      <c r="AV116" s="8"/>
      <c r="AW116" s="8"/>
      <c r="AX116" s="8"/>
      <c r="AY116" s="8"/>
      <c r="AZ116" s="8"/>
      <c r="BA116" s="8"/>
      <c r="BB116" s="8"/>
      <c r="BC116" s="8"/>
      <c r="BD116" s="8"/>
      <c r="BE116" s="8"/>
      <c r="BF116" s="8"/>
      <c r="BG116" s="8"/>
      <c r="BH116" s="8"/>
      <c r="BI116" s="8"/>
    </row>
    <row r="117" spans="1:61" s="7" customFormat="1" x14ac:dyDescent="0.2">
      <c r="A117" s="118"/>
      <c r="B117" s="118" t="str">
        <f t="shared" si="41"/>
        <v>monthly</v>
      </c>
      <c r="C117" s="118" t="str">
        <f t="shared" si="36"/>
        <v/>
      </c>
      <c r="D117" s="118" t="s">
        <v>78</v>
      </c>
      <c r="E117" s="118" t="str">
        <f t="shared" si="40"/>
        <v/>
      </c>
      <c r="F117" s="163"/>
      <c r="G117" s="163"/>
      <c r="H117" s="163"/>
      <c r="I117" s="163" t="s">
        <v>167</v>
      </c>
      <c r="J117" s="163"/>
      <c r="K117" s="163"/>
      <c r="L117" s="163"/>
      <c r="M117" s="168">
        <f t="shared" si="42"/>
        <v>0</v>
      </c>
      <c r="N117" s="168">
        <f t="shared" si="43"/>
        <v>0</v>
      </c>
      <c r="O117" s="270" t="s">
        <v>185</v>
      </c>
      <c r="P117" s="270"/>
      <c r="Q117" s="270"/>
      <c r="R117" s="270"/>
      <c r="S117" s="270"/>
      <c r="T117" s="271"/>
      <c r="U117" s="271"/>
      <c r="V117" s="238" t="s">
        <v>71</v>
      </c>
      <c r="W117" s="238"/>
      <c r="X117" s="47" t="str">
        <f>IF(AND(OR(T128&gt;0,T108&gt;0,T172&gt;0),T117=""), "Save monthly for when needed", "")</f>
        <v/>
      </c>
      <c r="Y117" s="76"/>
      <c r="Z117" s="76"/>
      <c r="AA117" s="233"/>
      <c r="AB117" s="233"/>
      <c r="AC117" s="233"/>
      <c r="AD117" s="233"/>
      <c r="AE117" s="233"/>
      <c r="AF117" s="233"/>
      <c r="AG117" s="233"/>
      <c r="AH117" s="233"/>
      <c r="AI117" s="76"/>
      <c r="AJ117" s="9"/>
      <c r="AK117" s="9"/>
      <c r="AL117" s="9"/>
      <c r="AM117" s="9"/>
      <c r="AN117" s="9"/>
      <c r="AO117" s="9"/>
      <c r="AP117" s="9"/>
      <c r="AQ117" s="6"/>
      <c r="AR117" s="8"/>
      <c r="AS117" s="8"/>
      <c r="AT117" s="8"/>
      <c r="AU117" s="8"/>
      <c r="AV117" s="8"/>
      <c r="AW117" s="8"/>
      <c r="AX117" s="8"/>
      <c r="AY117" s="8"/>
      <c r="AZ117" s="8"/>
      <c r="BA117" s="8"/>
      <c r="BB117" s="8"/>
      <c r="BC117" s="8"/>
      <c r="BD117" s="8"/>
      <c r="BE117" s="8"/>
      <c r="BF117" s="8"/>
      <c r="BG117" s="8"/>
      <c r="BH117" s="8"/>
      <c r="BI117" s="8"/>
    </row>
    <row r="118" spans="1:61" s="7" customFormat="1" x14ac:dyDescent="0.2">
      <c r="A118" s="118"/>
      <c r="B118" s="118" t="str">
        <f t="shared" si="41"/>
        <v>monthly</v>
      </c>
      <c r="C118" s="118" t="str">
        <f t="shared" si="36"/>
        <v/>
      </c>
      <c r="D118" s="118" t="s">
        <v>78</v>
      </c>
      <c r="E118" s="118" t="str">
        <f t="shared" si="40"/>
        <v/>
      </c>
      <c r="F118" s="163"/>
      <c r="G118" s="163"/>
      <c r="H118" s="163"/>
      <c r="I118" s="163" t="s">
        <v>166</v>
      </c>
      <c r="J118" s="163"/>
      <c r="K118" s="163"/>
      <c r="L118" s="163"/>
      <c r="M118" s="168">
        <f t="shared" si="42"/>
        <v>0</v>
      </c>
      <c r="N118" s="168">
        <f t="shared" si="43"/>
        <v>0</v>
      </c>
      <c r="O118" s="268" t="s">
        <v>167</v>
      </c>
      <c r="P118" s="268"/>
      <c r="Q118" s="268"/>
      <c r="R118" s="268"/>
      <c r="S118" s="268"/>
      <c r="T118" s="239"/>
      <c r="U118" s="239"/>
      <c r="V118" s="240" t="s">
        <v>71</v>
      </c>
      <c r="W118" s="240"/>
      <c r="X118" s="46" t="str">
        <f>IF(AND(OR(T128&gt;0,T108&gt;0,T172&gt;0),T118=""), "Save monthly for when needed", "")</f>
        <v/>
      </c>
      <c r="Y118" s="76"/>
      <c r="Z118" s="76"/>
      <c r="AA118" s="233"/>
      <c r="AB118" s="233"/>
      <c r="AC118" s="233"/>
      <c r="AD118" s="233"/>
      <c r="AE118" s="233"/>
      <c r="AF118" s="233"/>
      <c r="AG118" s="233"/>
      <c r="AH118" s="233"/>
      <c r="AI118" s="76"/>
      <c r="AJ118" s="9"/>
      <c r="AK118" s="9"/>
      <c r="AL118" s="9"/>
      <c r="AM118" s="9"/>
      <c r="AN118" s="9"/>
      <c r="AO118" s="9"/>
      <c r="AP118" s="9"/>
      <c r="AQ118" s="6"/>
      <c r="AR118" s="8"/>
      <c r="AS118" s="8"/>
      <c r="AT118" s="8"/>
      <c r="AU118" s="8"/>
      <c r="AV118" s="8"/>
      <c r="AW118" s="8"/>
      <c r="AX118" s="8"/>
      <c r="AY118" s="8"/>
      <c r="AZ118" s="8"/>
      <c r="BA118" s="8"/>
      <c r="BB118" s="8"/>
      <c r="BC118" s="8"/>
      <c r="BD118" s="8"/>
      <c r="BE118" s="8"/>
      <c r="BF118" s="8"/>
      <c r="BG118" s="8"/>
      <c r="BH118" s="8"/>
      <c r="BI118" s="8"/>
    </row>
    <row r="119" spans="1:61" s="7" customFormat="1" x14ac:dyDescent="0.2">
      <c r="A119" s="118"/>
      <c r="B119" s="118" t="str">
        <f t="shared" si="41"/>
        <v>monthly</v>
      </c>
      <c r="C119" s="118" t="str">
        <f t="shared" si="36"/>
        <v/>
      </c>
      <c r="D119" s="118" t="s">
        <v>78</v>
      </c>
      <c r="E119" s="118" t="str">
        <f t="shared" si="40"/>
        <v/>
      </c>
      <c r="F119" s="163"/>
      <c r="G119" s="163"/>
      <c r="H119" s="163"/>
      <c r="I119" s="163" t="s">
        <v>188</v>
      </c>
      <c r="J119" s="163"/>
      <c r="K119" s="163"/>
      <c r="L119" s="163"/>
      <c r="M119" s="168">
        <f t="shared" si="42"/>
        <v>0</v>
      </c>
      <c r="N119" s="168">
        <f t="shared" si="43"/>
        <v>0</v>
      </c>
      <c r="O119" s="270" t="s">
        <v>166</v>
      </c>
      <c r="P119" s="270"/>
      <c r="Q119" s="270"/>
      <c r="R119" s="270"/>
      <c r="S119" s="270"/>
      <c r="T119" s="271"/>
      <c r="U119" s="271"/>
      <c r="V119" s="238" t="s">
        <v>71</v>
      </c>
      <c r="W119" s="238"/>
      <c r="X119" s="47" t="str">
        <f>IF(AND(OR(T128&gt;0,T108&gt;0,T172&gt;0),T119=""), "Save monthly for when needed", "")</f>
        <v/>
      </c>
      <c r="Y119" s="76"/>
      <c r="Z119" s="76"/>
      <c r="AA119" s="314" t="str">
        <f>IF(AND(T12="On",OR(W209="No",W209="Select"),OR(T114&gt;0,T115&gt;0,T116&gt;0,T117&gt;0,T120&gt;0)), "Medical Expense Tip", "")</f>
        <v/>
      </c>
      <c r="AB119" s="314"/>
      <c r="AC119" s="314"/>
      <c r="AD119" s="314"/>
      <c r="AE119" s="314"/>
      <c r="AF119" s="314"/>
      <c r="AG119" s="314"/>
      <c r="AH119" s="314"/>
      <c r="AI119" s="76"/>
      <c r="AJ119" s="9"/>
      <c r="AK119" s="9"/>
      <c r="AL119" s="9"/>
      <c r="AM119" s="9"/>
      <c r="AN119" s="9"/>
      <c r="AO119" s="9"/>
      <c r="AP119" s="9"/>
      <c r="AQ119" s="6"/>
      <c r="AR119" s="8"/>
      <c r="AS119" s="8"/>
      <c r="AT119" s="8"/>
      <c r="AU119" s="8"/>
      <c r="AV119" s="8"/>
      <c r="AW119" s="8"/>
      <c r="AX119" s="8"/>
      <c r="AY119" s="8"/>
      <c r="AZ119" s="8"/>
      <c r="BA119" s="8"/>
      <c r="BB119" s="8"/>
      <c r="BC119" s="8"/>
      <c r="BD119" s="8"/>
      <c r="BE119" s="8"/>
      <c r="BF119" s="8"/>
      <c r="BG119" s="8"/>
      <c r="BH119" s="8"/>
      <c r="BI119" s="8"/>
    </row>
    <row r="120" spans="1:61" s="7" customFormat="1" ht="12.75" customHeight="1" x14ac:dyDescent="0.2">
      <c r="A120" s="118"/>
      <c r="B120" s="118" t="str">
        <f t="shared" si="41"/>
        <v>monthly</v>
      </c>
      <c r="C120" s="118" t="str">
        <f t="shared" si="36"/>
        <v/>
      </c>
      <c r="D120" s="118" t="s">
        <v>78</v>
      </c>
      <c r="E120" s="118" t="str">
        <f t="shared" si="40"/>
        <v/>
      </c>
      <c r="F120" s="163"/>
      <c r="G120" s="163"/>
      <c r="H120" s="163"/>
      <c r="I120" s="163" t="s">
        <v>127</v>
      </c>
      <c r="J120" s="163"/>
      <c r="K120" s="163"/>
      <c r="L120" s="163"/>
      <c r="M120" s="168">
        <f t="shared" si="42"/>
        <v>0</v>
      </c>
      <c r="N120" s="168">
        <f t="shared" si="43"/>
        <v>0</v>
      </c>
      <c r="O120" s="268" t="s">
        <v>8</v>
      </c>
      <c r="P120" s="268"/>
      <c r="Q120" s="268"/>
      <c r="R120" s="268"/>
      <c r="S120" s="268"/>
      <c r="T120" s="239"/>
      <c r="U120" s="239"/>
      <c r="V120" s="240" t="s">
        <v>71</v>
      </c>
      <c r="W120" s="240"/>
      <c r="X120" s="46"/>
      <c r="Y120" s="76"/>
      <c r="Z120" s="76"/>
      <c r="AA120" s="313" t="str">
        <f>IF(AND(T12="On",OR(W209="No",W209="Select"),OR(T114&gt;0,T115&gt;0,T116&gt;0,T117&gt;0,T120&gt;0)), J307, "")</f>
        <v/>
      </c>
      <c r="AB120" s="313"/>
      <c r="AC120" s="313"/>
      <c r="AD120" s="313"/>
      <c r="AE120" s="313"/>
      <c r="AF120" s="313"/>
      <c r="AG120" s="313"/>
      <c r="AH120" s="313"/>
      <c r="AI120" s="76"/>
      <c r="AJ120" s="9"/>
      <c r="AK120" s="9"/>
      <c r="AL120" s="9"/>
      <c r="AM120" s="9"/>
      <c r="AN120" s="9"/>
      <c r="AO120" s="9"/>
      <c r="AP120" s="9"/>
      <c r="AQ120" s="6"/>
      <c r="AR120" s="8"/>
      <c r="AS120" s="8"/>
      <c r="AT120" s="8"/>
      <c r="AU120" s="8"/>
      <c r="AV120" s="8"/>
      <c r="AW120" s="8"/>
      <c r="AX120" s="8"/>
      <c r="AY120" s="8"/>
      <c r="AZ120" s="8"/>
      <c r="BA120" s="8"/>
      <c r="BB120" s="8"/>
      <c r="BC120" s="8"/>
      <c r="BD120" s="8"/>
      <c r="BE120" s="8"/>
      <c r="BF120" s="8"/>
      <c r="BG120" s="8"/>
      <c r="BH120" s="8"/>
      <c r="BI120" s="8"/>
    </row>
    <row r="121" spans="1:61" s="7" customFormat="1" x14ac:dyDescent="0.2">
      <c r="A121" s="118"/>
      <c r="B121" s="118"/>
      <c r="C121" s="118"/>
      <c r="D121" s="118"/>
      <c r="E121" s="118"/>
      <c r="F121" s="163"/>
      <c r="G121" s="163"/>
      <c r="H121" s="163"/>
      <c r="I121" s="163" t="s">
        <v>187</v>
      </c>
      <c r="J121" s="163"/>
      <c r="K121" s="163"/>
      <c r="L121" s="163"/>
      <c r="M121" s="168">
        <f t="shared" si="42"/>
        <v>0</v>
      </c>
      <c r="N121" s="168">
        <f t="shared" si="43"/>
        <v>0</v>
      </c>
      <c r="O121" s="345" t="s">
        <v>388</v>
      </c>
      <c r="P121" s="345"/>
      <c r="Q121" s="345"/>
      <c r="R121" s="345"/>
      <c r="S121" s="345"/>
      <c r="T121" s="271"/>
      <c r="U121" s="271"/>
      <c r="V121" s="238" t="s">
        <v>71</v>
      </c>
      <c r="W121" s="238"/>
      <c r="X121" s="138"/>
      <c r="Y121" s="76"/>
      <c r="Z121" s="76"/>
      <c r="AA121" s="313"/>
      <c r="AB121" s="313"/>
      <c r="AC121" s="313"/>
      <c r="AD121" s="313"/>
      <c r="AE121" s="313"/>
      <c r="AF121" s="313"/>
      <c r="AG121" s="313"/>
      <c r="AH121" s="313"/>
      <c r="AI121" s="76"/>
      <c r="AJ121" s="9"/>
      <c r="AK121" s="9"/>
      <c r="AL121" s="9"/>
      <c r="AM121" s="9"/>
      <c r="AN121" s="9"/>
      <c r="AO121" s="9"/>
      <c r="AP121" s="9"/>
      <c r="AQ121" s="6"/>
      <c r="AR121" s="8"/>
      <c r="AS121" s="8"/>
      <c r="AT121" s="8"/>
      <c r="AU121" s="8"/>
      <c r="AV121" s="8"/>
      <c r="AW121" s="8"/>
      <c r="AX121" s="8"/>
      <c r="AY121" s="8"/>
      <c r="AZ121" s="8"/>
      <c r="BA121" s="8"/>
      <c r="BB121" s="8"/>
      <c r="BC121" s="8"/>
      <c r="BD121" s="8"/>
      <c r="BE121" s="8"/>
      <c r="BF121" s="8"/>
      <c r="BG121" s="8"/>
      <c r="BH121" s="8"/>
      <c r="BI121" s="8"/>
    </row>
    <row r="122" spans="1:61" s="7" customFormat="1" x14ac:dyDescent="0.2">
      <c r="A122" s="118"/>
      <c r="B122" s="118" t="str">
        <f t="shared" ref="B122:B127" si="44">V122</f>
        <v>monthly</v>
      </c>
      <c r="C122" s="118" t="str">
        <f t="shared" si="36"/>
        <v/>
      </c>
      <c r="D122" s="118" t="s">
        <v>78</v>
      </c>
      <c r="E122" s="118" t="str">
        <f t="shared" si="40"/>
        <v/>
      </c>
      <c r="F122" s="163"/>
      <c r="G122" s="163"/>
      <c r="H122" s="163"/>
      <c r="I122" s="163" t="s">
        <v>186</v>
      </c>
      <c r="J122" s="163"/>
      <c r="K122" s="163"/>
      <c r="L122" s="163"/>
      <c r="M122" s="168">
        <f t="shared" si="42"/>
        <v>0</v>
      </c>
      <c r="N122" s="168">
        <f t="shared" si="43"/>
        <v>0</v>
      </c>
      <c r="O122" s="268"/>
      <c r="P122" s="268"/>
      <c r="Q122" s="268"/>
      <c r="R122" s="268"/>
      <c r="S122" s="268"/>
      <c r="T122" s="239"/>
      <c r="U122" s="239"/>
      <c r="V122" s="240" t="s">
        <v>71</v>
      </c>
      <c r="W122" s="240"/>
      <c r="X122" s="44"/>
      <c r="Y122" s="76"/>
      <c r="Z122" s="76"/>
      <c r="AA122" s="313"/>
      <c r="AB122" s="313"/>
      <c r="AC122" s="313"/>
      <c r="AD122" s="313"/>
      <c r="AE122" s="313"/>
      <c r="AF122" s="313"/>
      <c r="AG122" s="313"/>
      <c r="AH122" s="313"/>
      <c r="AI122" s="76"/>
      <c r="AJ122" s="9"/>
      <c r="AK122" s="9"/>
      <c r="AL122" s="9"/>
      <c r="AM122" s="9"/>
      <c r="AN122" s="9"/>
      <c r="AO122" s="9"/>
      <c r="AP122" s="9"/>
      <c r="AQ122" s="6"/>
      <c r="AR122" s="8"/>
      <c r="AS122" s="8"/>
      <c r="AT122" s="8"/>
      <c r="AU122" s="8"/>
      <c r="AV122" s="8"/>
      <c r="AW122" s="8"/>
      <c r="AX122" s="8"/>
      <c r="AY122" s="8"/>
      <c r="AZ122" s="8"/>
      <c r="BA122" s="8"/>
      <c r="BB122" s="8"/>
      <c r="BC122" s="8"/>
      <c r="BD122" s="8"/>
      <c r="BE122" s="8"/>
      <c r="BF122" s="8"/>
      <c r="BG122" s="8"/>
      <c r="BH122" s="8"/>
      <c r="BI122" s="8"/>
    </row>
    <row r="123" spans="1:61" s="7" customFormat="1" x14ac:dyDescent="0.2">
      <c r="A123" s="118"/>
      <c r="B123" s="118" t="str">
        <f t="shared" si="44"/>
        <v>monthly</v>
      </c>
      <c r="C123" s="118" t="str">
        <f t="shared" si="36"/>
        <v/>
      </c>
      <c r="D123" s="118" t="s">
        <v>78</v>
      </c>
      <c r="E123" s="118" t="str">
        <f t="shared" si="40"/>
        <v/>
      </c>
      <c r="F123" s="163"/>
      <c r="G123" s="163"/>
      <c r="H123" s="163"/>
      <c r="I123" s="163" t="s">
        <v>165</v>
      </c>
      <c r="J123" s="163"/>
      <c r="K123" s="163"/>
      <c r="L123" s="163"/>
      <c r="M123" s="168">
        <f t="shared" si="42"/>
        <v>0</v>
      </c>
      <c r="N123" s="168">
        <f t="shared" si="43"/>
        <v>0</v>
      </c>
      <c r="O123" s="236"/>
      <c r="P123" s="236"/>
      <c r="Q123" s="236"/>
      <c r="R123" s="236"/>
      <c r="S123" s="236"/>
      <c r="T123" s="271"/>
      <c r="U123" s="271"/>
      <c r="V123" s="238" t="s">
        <v>71</v>
      </c>
      <c r="W123" s="238"/>
      <c r="X123" s="45"/>
      <c r="Y123" s="76"/>
      <c r="Z123" s="76"/>
      <c r="AA123" s="313"/>
      <c r="AB123" s="313"/>
      <c r="AC123" s="313"/>
      <c r="AD123" s="313"/>
      <c r="AE123" s="313"/>
      <c r="AF123" s="313"/>
      <c r="AG123" s="313"/>
      <c r="AH123" s="313"/>
      <c r="AI123" s="76"/>
      <c r="AJ123" s="9"/>
      <c r="AK123" s="9"/>
      <c r="AL123" s="9"/>
      <c r="AM123" s="9"/>
      <c r="AN123" s="9"/>
      <c r="AO123" s="9"/>
      <c r="AP123" s="9"/>
      <c r="AQ123" s="6"/>
      <c r="AR123" s="8"/>
      <c r="AS123" s="8"/>
      <c r="AT123" s="8"/>
      <c r="AU123" s="8"/>
      <c r="AV123" s="8"/>
      <c r="AW123" s="8"/>
      <c r="AX123" s="8"/>
      <c r="AY123" s="8"/>
      <c r="AZ123" s="8"/>
      <c r="BA123" s="8"/>
      <c r="BB123" s="8"/>
      <c r="BC123" s="8"/>
      <c r="BD123" s="8"/>
      <c r="BE123" s="8"/>
      <c r="BF123" s="8"/>
      <c r="BG123" s="8"/>
      <c r="BH123" s="8"/>
      <c r="BI123" s="8"/>
    </row>
    <row r="124" spans="1:61" s="7" customFormat="1" x14ac:dyDescent="0.2">
      <c r="A124" s="118"/>
      <c r="B124" s="118" t="str">
        <f t="shared" si="44"/>
        <v>monthly</v>
      </c>
      <c r="C124" s="118" t="str">
        <f t="shared" si="36"/>
        <v/>
      </c>
      <c r="D124" s="118" t="s">
        <v>78</v>
      </c>
      <c r="E124" s="118" t="str">
        <f t="shared" si="40"/>
        <v/>
      </c>
      <c r="F124" s="163"/>
      <c r="G124" s="163"/>
      <c r="H124" s="163"/>
      <c r="I124" s="163"/>
      <c r="J124" s="163"/>
      <c r="K124" s="163"/>
      <c r="L124" s="163"/>
      <c r="M124" s="168">
        <f t="shared" si="42"/>
        <v>0</v>
      </c>
      <c r="N124" s="168">
        <f t="shared" si="43"/>
        <v>0</v>
      </c>
      <c r="O124" s="268"/>
      <c r="P124" s="268"/>
      <c r="Q124" s="268"/>
      <c r="R124" s="268"/>
      <c r="S124" s="268"/>
      <c r="T124" s="239"/>
      <c r="U124" s="239"/>
      <c r="V124" s="240" t="s">
        <v>71</v>
      </c>
      <c r="W124" s="240"/>
      <c r="X124" s="44"/>
      <c r="Y124" s="76"/>
      <c r="Z124" s="76"/>
      <c r="AA124" s="313"/>
      <c r="AB124" s="313"/>
      <c r="AC124" s="313"/>
      <c r="AD124" s="313"/>
      <c r="AE124" s="313"/>
      <c r="AF124" s="313"/>
      <c r="AG124" s="313"/>
      <c r="AH124" s="313"/>
      <c r="AI124" s="76"/>
      <c r="AJ124" s="9"/>
      <c r="AK124" s="9"/>
      <c r="AL124" s="9"/>
      <c r="AM124" s="9"/>
      <c r="AN124" s="9"/>
      <c r="AO124" s="9"/>
      <c r="AP124" s="9"/>
      <c r="AQ124" s="6"/>
      <c r="AR124" s="8"/>
      <c r="AS124" s="8"/>
      <c r="AT124" s="8"/>
      <c r="AU124" s="8"/>
      <c r="AV124" s="8"/>
      <c r="AW124" s="8"/>
      <c r="AX124" s="8"/>
      <c r="AY124" s="8"/>
      <c r="AZ124" s="8"/>
      <c r="BA124" s="8"/>
      <c r="BB124" s="8"/>
      <c r="BC124" s="8"/>
      <c r="BD124" s="8"/>
      <c r="BE124" s="8"/>
      <c r="BF124" s="8"/>
      <c r="BG124" s="8"/>
      <c r="BH124" s="8"/>
      <c r="BI124" s="8"/>
    </row>
    <row r="125" spans="1:61" s="7" customFormat="1" x14ac:dyDescent="0.2">
      <c r="A125" s="118"/>
      <c r="B125" s="118" t="str">
        <f t="shared" si="44"/>
        <v>monthly</v>
      </c>
      <c r="C125" s="118" t="str">
        <f t="shared" si="36"/>
        <v/>
      </c>
      <c r="D125" s="118" t="s">
        <v>78</v>
      </c>
      <c r="E125" s="118" t="str">
        <f t="shared" si="40"/>
        <v/>
      </c>
      <c r="F125" s="163"/>
      <c r="G125" s="163"/>
      <c r="H125" s="163"/>
      <c r="I125" s="163"/>
      <c r="J125" s="163"/>
      <c r="K125" s="163"/>
      <c r="L125" s="163"/>
      <c r="M125" s="168">
        <f t="shared" si="42"/>
        <v>0</v>
      </c>
      <c r="N125" s="168">
        <f t="shared" si="43"/>
        <v>0</v>
      </c>
      <c r="O125" s="236"/>
      <c r="P125" s="236"/>
      <c r="Q125" s="236"/>
      <c r="R125" s="236"/>
      <c r="S125" s="236"/>
      <c r="T125" s="271"/>
      <c r="U125" s="271"/>
      <c r="V125" s="238" t="s">
        <v>71</v>
      </c>
      <c r="W125" s="238"/>
      <c r="X125" s="45"/>
      <c r="Y125" s="76"/>
      <c r="Z125" s="76"/>
      <c r="AA125" s="86"/>
      <c r="AB125" s="86"/>
      <c r="AC125" s="86"/>
      <c r="AD125" s="86"/>
      <c r="AE125" s="86"/>
      <c r="AF125" s="86"/>
      <c r="AG125" s="86"/>
      <c r="AH125" s="86"/>
      <c r="AI125" s="76"/>
      <c r="AJ125" s="9"/>
      <c r="AK125" s="9"/>
      <c r="AL125" s="9"/>
      <c r="AM125" s="9"/>
      <c r="AN125" s="9"/>
      <c r="AO125" s="9"/>
      <c r="AP125" s="9"/>
      <c r="AQ125" s="6"/>
      <c r="AR125" s="8"/>
      <c r="AS125" s="8"/>
      <c r="AT125" s="8"/>
      <c r="AU125" s="8"/>
      <c r="AV125" s="8"/>
      <c r="AW125" s="8"/>
      <c r="AX125" s="8"/>
      <c r="AY125" s="8"/>
      <c r="AZ125" s="8"/>
      <c r="BA125" s="8"/>
      <c r="BB125" s="8"/>
      <c r="BC125" s="8"/>
      <c r="BD125" s="8"/>
      <c r="BE125" s="8"/>
      <c r="BF125" s="8"/>
      <c r="BG125" s="8"/>
      <c r="BH125" s="8"/>
      <c r="BI125" s="8"/>
    </row>
    <row r="126" spans="1:61" s="7" customFormat="1" x14ac:dyDescent="0.2">
      <c r="A126" s="118"/>
      <c r="B126" s="118" t="str">
        <f t="shared" si="44"/>
        <v>monthly</v>
      </c>
      <c r="C126" s="118" t="str">
        <f t="shared" si="36"/>
        <v/>
      </c>
      <c r="D126" s="118" t="s">
        <v>78</v>
      </c>
      <c r="E126" s="118" t="str">
        <f t="shared" si="40"/>
        <v/>
      </c>
      <c r="F126" s="163"/>
      <c r="G126" s="163"/>
      <c r="H126" s="163"/>
      <c r="I126" s="163"/>
      <c r="J126" s="163"/>
      <c r="K126" s="163"/>
      <c r="L126" s="163"/>
      <c r="M126" s="168">
        <f t="shared" si="42"/>
        <v>0</v>
      </c>
      <c r="N126" s="168">
        <f t="shared" si="43"/>
        <v>0</v>
      </c>
      <c r="O126" s="268"/>
      <c r="P126" s="268"/>
      <c r="Q126" s="268"/>
      <c r="R126" s="268"/>
      <c r="S126" s="268"/>
      <c r="T126" s="239"/>
      <c r="U126" s="239"/>
      <c r="V126" s="240" t="s">
        <v>71</v>
      </c>
      <c r="W126" s="240"/>
      <c r="X126" s="46"/>
      <c r="Y126" s="76"/>
      <c r="Z126" s="76"/>
      <c r="AA126" s="86"/>
      <c r="AB126" s="86"/>
      <c r="AC126" s="86"/>
      <c r="AD126" s="86"/>
      <c r="AE126" s="86"/>
      <c r="AF126" s="86"/>
      <c r="AG126" s="86"/>
      <c r="AH126" s="86"/>
      <c r="AI126" s="76"/>
      <c r="AJ126" s="9"/>
      <c r="AK126" s="9"/>
      <c r="AL126" s="9"/>
      <c r="AM126" s="9"/>
      <c r="AN126" s="9"/>
      <c r="AO126" s="9"/>
      <c r="AP126" s="9"/>
      <c r="AQ126" s="6"/>
      <c r="AR126" s="8"/>
      <c r="AS126" s="8"/>
      <c r="AT126" s="8"/>
      <c r="AU126" s="8"/>
      <c r="AV126" s="8"/>
      <c r="AW126" s="8"/>
      <c r="AX126" s="8"/>
      <c r="AY126" s="8"/>
      <c r="AZ126" s="8"/>
      <c r="BA126" s="8"/>
      <c r="BB126" s="8"/>
      <c r="BC126" s="8"/>
      <c r="BD126" s="8"/>
      <c r="BE126" s="8"/>
      <c r="BF126" s="8"/>
      <c r="BG126" s="8"/>
      <c r="BH126" s="8"/>
      <c r="BI126" s="8"/>
    </row>
    <row r="127" spans="1:61" s="7" customFormat="1" x14ac:dyDescent="0.2">
      <c r="A127" s="118"/>
      <c r="B127" s="118" t="str">
        <f t="shared" si="44"/>
        <v>monthly</v>
      </c>
      <c r="C127" s="118" t="str">
        <f t="shared" si="36"/>
        <v/>
      </c>
      <c r="D127" s="118" t="s">
        <v>78</v>
      </c>
      <c r="E127" s="118" t="str">
        <f t="shared" si="40"/>
        <v/>
      </c>
      <c r="F127" s="163"/>
      <c r="G127" s="163"/>
      <c r="H127" s="163"/>
      <c r="I127" s="163"/>
      <c r="J127" s="163"/>
      <c r="K127" s="163"/>
      <c r="L127" s="163"/>
      <c r="M127" s="168">
        <f t="shared" si="42"/>
        <v>0</v>
      </c>
      <c r="N127" s="168">
        <f t="shared" si="43"/>
        <v>0</v>
      </c>
      <c r="O127" s="235"/>
      <c r="P127" s="235"/>
      <c r="Q127" s="235"/>
      <c r="R127" s="235"/>
      <c r="S127" s="235"/>
      <c r="T127" s="271"/>
      <c r="U127" s="271"/>
      <c r="V127" s="238" t="s">
        <v>71</v>
      </c>
      <c r="W127" s="238"/>
      <c r="X127" s="45"/>
      <c r="Y127" s="76"/>
      <c r="Z127" s="76"/>
      <c r="AA127" s="86"/>
      <c r="AB127" s="86"/>
      <c r="AC127" s="86"/>
      <c r="AD127" s="86"/>
      <c r="AE127" s="86"/>
      <c r="AF127" s="86"/>
      <c r="AG127" s="86"/>
      <c r="AH127" s="86"/>
      <c r="AI127" s="76"/>
      <c r="AJ127" s="9"/>
      <c r="AK127" s="9"/>
      <c r="AL127" s="9"/>
      <c r="AM127" s="9"/>
      <c r="AN127" s="9"/>
      <c r="AO127" s="9"/>
      <c r="AP127" s="9"/>
      <c r="AQ127" s="6"/>
      <c r="AR127" s="8"/>
      <c r="AS127" s="8"/>
      <c r="AT127" s="8"/>
      <c r="AU127" s="8"/>
      <c r="AV127" s="8"/>
      <c r="AW127" s="8"/>
      <c r="AX127" s="8"/>
      <c r="AY127" s="8"/>
      <c r="AZ127" s="8"/>
      <c r="BA127" s="8"/>
      <c r="BB127" s="8"/>
      <c r="BC127" s="8"/>
      <c r="BD127" s="8"/>
      <c r="BE127" s="8"/>
      <c r="BF127" s="8"/>
      <c r="BG127" s="8"/>
      <c r="BH127" s="8"/>
      <c r="BI127" s="8"/>
    </row>
    <row r="128" spans="1:61" s="7" customFormat="1" ht="17.25" customHeight="1" x14ac:dyDescent="0.2">
      <c r="A128" s="118"/>
      <c r="B128" s="118"/>
      <c r="C128" s="118"/>
      <c r="D128" s="118"/>
      <c r="E128" s="118"/>
      <c r="F128" s="163"/>
      <c r="G128" s="163"/>
      <c r="H128" s="163"/>
      <c r="I128" s="163"/>
      <c r="J128" s="163"/>
      <c r="K128" s="163"/>
      <c r="L128" s="163"/>
      <c r="M128" s="168">
        <f>SUM(M112:M127)</f>
        <v>0</v>
      </c>
      <c r="N128" s="168"/>
      <c r="O128" s="264" t="str">
        <f>IF(T12="On", IF(M128=0, "MEDICAL TOTAL", IF((T128/T37)&gt;V261, "Your MEDICAL TOTAL of", "MEDICAL TOTAL")), "MEDICAL TOTAL")</f>
        <v>MEDICAL TOTAL</v>
      </c>
      <c r="P128" s="264"/>
      <c r="Q128" s="264"/>
      <c r="R128" s="264"/>
      <c r="S128" s="264"/>
      <c r="T128" s="275">
        <f>SUM(N112:N127)</f>
        <v>0</v>
      </c>
      <c r="U128" s="275"/>
      <c r="V128" s="32" t="e">
        <f>IF(T12="On", IF(N261="Changed", "", T128/T37), "")</f>
        <v>#DIV/0!</v>
      </c>
      <c r="W128" s="272" t="str">
        <f>IF(T12="On", IF(M128=0, "", IF((T128/T37)&gt;1, " is greater than your income", IF((T128/T37)&gt;V261, CONCATENATE(" is greater than ",V261*100,"% of your income"),  ""))), "")</f>
        <v/>
      </c>
      <c r="X128" s="272"/>
      <c r="Y128" s="76"/>
      <c r="Z128" s="76"/>
      <c r="AA128" s="86"/>
      <c r="AB128" s="86"/>
      <c r="AC128" s="86"/>
      <c r="AD128" s="86"/>
      <c r="AE128" s="86"/>
      <c r="AF128" s="86"/>
      <c r="AG128" s="86"/>
      <c r="AH128" s="86"/>
      <c r="AI128" s="76"/>
      <c r="AJ128" s="9"/>
      <c r="AK128" s="9"/>
      <c r="AL128" s="9"/>
      <c r="AM128" s="9"/>
      <c r="AN128" s="9"/>
      <c r="AO128" s="9"/>
      <c r="AP128" s="9"/>
      <c r="AQ128" s="6"/>
      <c r="AR128" s="8"/>
      <c r="AS128" s="8"/>
      <c r="AT128" s="8"/>
      <c r="AU128" s="8"/>
      <c r="AV128" s="8"/>
      <c r="AW128" s="8"/>
      <c r="AX128" s="8"/>
      <c r="AY128" s="8"/>
      <c r="AZ128" s="8"/>
      <c r="BA128" s="8"/>
      <c r="BB128" s="8"/>
      <c r="BC128" s="8"/>
      <c r="BD128" s="8"/>
      <c r="BE128" s="8"/>
      <c r="BF128" s="8"/>
      <c r="BG128" s="8"/>
      <c r="BH128" s="8"/>
      <c r="BI128" s="8"/>
    </row>
    <row r="129" spans="1:61" s="7" customFormat="1" ht="32.1" customHeight="1" x14ac:dyDescent="0.2">
      <c r="A129" s="118"/>
      <c r="B129" s="118"/>
      <c r="C129" s="118"/>
      <c r="D129" s="118"/>
      <c r="E129" s="118"/>
      <c r="F129" s="163"/>
      <c r="G129" s="163"/>
      <c r="H129" s="163"/>
      <c r="I129" s="163" t="s">
        <v>362</v>
      </c>
      <c r="J129" s="163" t="s">
        <v>363</v>
      </c>
      <c r="K129" s="163"/>
      <c r="L129" s="163"/>
      <c r="M129" s="168"/>
      <c r="N129" s="168"/>
      <c r="O129" s="246" t="str">
        <f>IF(T12="On", IF(M128=0, "", IF((T128/T37)&gt;1,"Are you sure you spend that much? Check your numbers.", IF((T128/T37)&gt;0.1,"Note: Your spending in this category is high.", IF((T128/T37)&gt;0.03,"Note: Your spending in this category is a little high.",IF((T128/T37)&lt;0.01,"Note: Your spending on medical expenses is low. In Canada it's usually a good idea to allocate around 3% of your budget for this category.", ""))))), "")</f>
        <v/>
      </c>
      <c r="P129" s="246"/>
      <c r="Q129" s="246"/>
      <c r="R129" s="246"/>
      <c r="S129" s="246"/>
      <c r="T129" s="246"/>
      <c r="U129" s="246"/>
      <c r="V129" s="246"/>
      <c r="W129" s="246"/>
      <c r="X129" s="246"/>
      <c r="Y129" s="76"/>
      <c r="Z129" s="76"/>
      <c r="AA129" s="86"/>
      <c r="AB129" s="86"/>
      <c r="AC129" s="86"/>
      <c r="AD129" s="86"/>
      <c r="AE129" s="86"/>
      <c r="AF129" s="86"/>
      <c r="AG129" s="86"/>
      <c r="AH129" s="86"/>
      <c r="AI129" s="76"/>
      <c r="AJ129" s="9"/>
      <c r="AK129" s="9"/>
      <c r="AL129" s="9"/>
      <c r="AM129" s="9"/>
      <c r="AN129" s="9"/>
      <c r="AO129" s="9"/>
      <c r="AP129" s="9"/>
      <c r="AQ129" s="6"/>
      <c r="AR129" s="8"/>
      <c r="AS129" s="8"/>
      <c r="AT129" s="8"/>
      <c r="AU129" s="8"/>
      <c r="AV129" s="8"/>
      <c r="AW129" s="8"/>
      <c r="AX129" s="8"/>
      <c r="AY129" s="8"/>
      <c r="AZ129" s="8"/>
      <c r="BA129" s="8"/>
      <c r="BB129" s="8"/>
      <c r="BC129" s="8"/>
      <c r="BD129" s="8"/>
      <c r="BE129" s="8"/>
      <c r="BF129" s="8"/>
      <c r="BG129" s="8"/>
      <c r="BH129" s="8"/>
      <c r="BI129" s="8"/>
    </row>
    <row r="130" spans="1:61" s="11" customFormat="1" ht="17.25" customHeight="1" x14ac:dyDescent="0.2">
      <c r="A130" s="188"/>
      <c r="B130" s="118"/>
      <c r="C130" s="118"/>
      <c r="D130" s="118"/>
      <c r="E130" s="118"/>
      <c r="F130" s="169"/>
      <c r="G130" s="169"/>
      <c r="H130" s="169"/>
      <c r="I130" s="169" t="str">
        <f>IF(T12="On", IF(T37=0, CONCATENATE("It's usually a good idea to allocate ",T262*100,"% to ",V262*100,"% of your budget for personal expenses."), IF(T37&gt;0, CONCATENATE(M130,N130,L130,N131,K130), CONCATENATE("It's usually a good idea to allocate ",T262*100,"% to ",V262*100,"% of your budget for personal expenses."))), "")</f>
        <v>It's usually a good idea to allocate 5% to 10% of your budget for personal expenses.</v>
      </c>
      <c r="J130" s="169" t="str">
        <f>IF(T12="On", IF(T37=0, CONCATENATE("It's usually a good idea to allocate ",T262*100,"% to ",V262*100,"% of your budget for personal expenses."), IF(T37&gt;0, CONCATENATE("We usually suggest allocating 5% to 10% of a budget for personal expenses. However, based on your situation it looks like allocating up to ", IF(D3=1,D262*100,C262*100), "% may be appropriate. Just make sure your budget balances and you are putting some money into savings each month."))), "")</f>
        <v>It's usually a good idea to allocate 5% to 10% of your budget for personal expenses.</v>
      </c>
      <c r="K130" s="169" t="s">
        <v>139</v>
      </c>
      <c r="L130" s="169" t="s">
        <v>82</v>
      </c>
      <c r="M130" s="192" t="str">
        <f>CONCATENATE("It's usually a good idea to allocate ",T262*100,"% to ",V262*100,"% of your budget for personal expenses. For your budget, that would be $")</f>
        <v>It's usually a good idea to allocate 5% to 10% of your budget for personal expenses. For your budget, that would be $</v>
      </c>
      <c r="N130" s="168">
        <f>ROUND(T37*T262,0)</f>
        <v>0</v>
      </c>
      <c r="O130" s="253" t="s">
        <v>172</v>
      </c>
      <c r="P130" s="253"/>
      <c r="Q130" s="253"/>
      <c r="R130" s="253"/>
      <c r="S130" s="253"/>
      <c r="T130" s="253"/>
      <c r="U130" s="253"/>
      <c r="V130" s="253"/>
      <c r="W130" s="253"/>
      <c r="X130" s="253"/>
      <c r="Y130" s="84"/>
      <c r="Z130" s="84"/>
      <c r="AA130" s="88"/>
      <c r="AB130" s="88"/>
      <c r="AC130" s="88"/>
      <c r="AD130" s="88"/>
      <c r="AE130" s="88"/>
      <c r="AF130" s="88"/>
      <c r="AG130" s="88"/>
      <c r="AH130" s="88"/>
      <c r="AI130" s="84"/>
      <c r="AJ130" s="23"/>
      <c r="AK130" s="23"/>
      <c r="AL130" s="23"/>
      <c r="AM130" s="23"/>
      <c r="AN130" s="23"/>
      <c r="AO130" s="23"/>
      <c r="AP130" s="23"/>
      <c r="AQ130" s="10"/>
      <c r="AR130" s="12"/>
      <c r="AS130" s="12"/>
      <c r="AT130" s="12"/>
      <c r="AU130" s="12"/>
      <c r="AV130" s="12"/>
      <c r="AW130" s="12"/>
      <c r="AX130" s="12"/>
      <c r="AY130" s="12"/>
      <c r="AZ130" s="12"/>
      <c r="BA130" s="12"/>
      <c r="BB130" s="12"/>
      <c r="BC130" s="12"/>
      <c r="BD130" s="12"/>
      <c r="BE130" s="12"/>
      <c r="BF130" s="12"/>
      <c r="BG130" s="12"/>
      <c r="BH130" s="12"/>
      <c r="BI130" s="12"/>
    </row>
    <row r="131" spans="1:61" s="11" customFormat="1" ht="47.25" customHeight="1" x14ac:dyDescent="0.2">
      <c r="A131" s="188"/>
      <c r="B131" s="118"/>
      <c r="C131" s="118"/>
      <c r="D131" s="118"/>
      <c r="E131" s="118"/>
      <c r="F131" s="169"/>
      <c r="G131" s="169"/>
      <c r="H131" s="169"/>
      <c r="I131" s="169" t="s">
        <v>354</v>
      </c>
      <c r="J131" s="169">
        <f>IF(J132&gt;=2400, 2400, J132)</f>
        <v>0</v>
      </c>
      <c r="K131" s="169" t="e">
        <f>ROUND((T172/T37)*100,1)</f>
        <v>#DIV/0!</v>
      </c>
      <c r="L131" s="169"/>
      <c r="M131" s="192"/>
      <c r="N131" s="168">
        <f>ROUND(T37*V262,0)</f>
        <v>0</v>
      </c>
      <c r="O131" s="260" t="str">
        <f>IF(T12="On", IF(T37=0, CONCATENATE("It's usually a good idea to allocate ",T262*100,"% to ",V262*100,"% of your budget for personal expenses."), IF(OR(AND(T37&gt;0,D3=1),AND(T37&gt;0,C262&gt;10%)), J130, IF(T37&gt;0,I130, CONCATENATE("It's usually a good idea to allocate ",T262*100,"% to ",V262*100,"% of your budget for personal expenses.")))), "")</f>
        <v>It's usually a good idea to allocate 5% to 10% of your budget for personal expenses.</v>
      </c>
      <c r="P131" s="260"/>
      <c r="Q131" s="260"/>
      <c r="R131" s="260"/>
      <c r="S131" s="260"/>
      <c r="T131" s="260"/>
      <c r="U131" s="260"/>
      <c r="V131" s="260"/>
      <c r="W131" s="260"/>
      <c r="X131" s="260"/>
      <c r="Y131" s="84"/>
      <c r="Z131" s="84"/>
      <c r="AA131" s="88"/>
      <c r="AB131" s="88"/>
      <c r="AC131" s="88"/>
      <c r="AD131" s="88"/>
      <c r="AE131" s="88"/>
      <c r="AF131" s="88"/>
      <c r="AG131" s="88"/>
      <c r="AH131" s="88"/>
      <c r="AI131" s="84"/>
      <c r="AJ131" s="23"/>
      <c r="AK131" s="23"/>
      <c r="AL131" s="23"/>
      <c r="AM131" s="23"/>
      <c r="AN131" s="23"/>
      <c r="AO131" s="23"/>
      <c r="AP131" s="23"/>
      <c r="AQ131" s="10"/>
      <c r="AR131" s="12"/>
      <c r="AS131" s="12"/>
      <c r="AT131" s="12"/>
      <c r="AU131" s="12"/>
      <c r="AV131" s="12"/>
      <c r="AW131" s="12"/>
      <c r="AX131" s="12"/>
      <c r="AY131" s="12"/>
      <c r="AZ131" s="12"/>
      <c r="BA131" s="12"/>
      <c r="BB131" s="12"/>
      <c r="BC131" s="12"/>
      <c r="BD131" s="12"/>
      <c r="BE131" s="12"/>
      <c r="BF131" s="12"/>
      <c r="BG131" s="12"/>
      <c r="BH131" s="12"/>
      <c r="BI131" s="12"/>
    </row>
    <row r="132" spans="1:61" s="11" customFormat="1" ht="26.25" customHeight="1" x14ac:dyDescent="0.2">
      <c r="A132" s="188"/>
      <c r="B132" s="118"/>
      <c r="C132" s="118"/>
      <c r="D132" s="118"/>
      <c r="E132" s="118"/>
      <c r="F132" s="169"/>
      <c r="G132" s="169"/>
      <c r="H132" s="169"/>
      <c r="I132" s="169" t="s">
        <v>356</v>
      </c>
      <c r="J132" s="169">
        <f>((T10-(N4+N6))*1200)</f>
        <v>0</v>
      </c>
      <c r="K132" s="169" t="s">
        <v>355</v>
      </c>
      <c r="L132" s="169"/>
      <c r="M132" s="192"/>
      <c r="N132" s="168"/>
      <c r="O132" s="273"/>
      <c r="P132" s="273"/>
      <c r="Q132" s="273"/>
      <c r="R132" s="273"/>
      <c r="S132" s="273"/>
      <c r="T132" s="273"/>
      <c r="U132" s="273"/>
      <c r="V132" s="273"/>
      <c r="W132" s="273"/>
      <c r="X132" s="273"/>
      <c r="Y132" s="84"/>
      <c r="Z132" s="84"/>
      <c r="AA132" s="88"/>
      <c r="AB132" s="88"/>
      <c r="AC132" s="88"/>
      <c r="AD132" s="88"/>
      <c r="AE132" s="88"/>
      <c r="AF132" s="88"/>
      <c r="AG132" s="88"/>
      <c r="AH132" s="88"/>
      <c r="AI132" s="84"/>
      <c r="AJ132" s="23"/>
      <c r="AK132" s="23"/>
      <c r="AL132" s="23"/>
      <c r="AM132" s="23"/>
      <c r="AN132" s="23"/>
      <c r="AO132" s="23"/>
      <c r="AP132" s="23"/>
      <c r="AQ132" s="10"/>
      <c r="AR132" s="12"/>
      <c r="AS132" s="12"/>
      <c r="AT132" s="12"/>
      <c r="AU132" s="12"/>
      <c r="AV132" s="12"/>
      <c r="AW132" s="12"/>
      <c r="AX132" s="12"/>
      <c r="AY132" s="12"/>
      <c r="AZ132" s="12"/>
      <c r="BA132" s="12"/>
      <c r="BB132" s="12"/>
      <c r="BC132" s="12"/>
      <c r="BD132" s="12"/>
      <c r="BE132" s="12"/>
      <c r="BF132" s="12"/>
      <c r="BG132" s="12"/>
      <c r="BH132" s="12"/>
      <c r="BI132" s="12"/>
    </row>
    <row r="133" spans="1:61" s="11" customFormat="1" ht="12.75" customHeight="1" x14ac:dyDescent="0.2">
      <c r="A133" s="188"/>
      <c r="B133" s="118"/>
      <c r="C133" s="118"/>
      <c r="D133" s="118"/>
      <c r="E133" s="118"/>
      <c r="F133" s="169"/>
      <c r="G133" s="169"/>
      <c r="H133" s="169"/>
      <c r="I133" s="169"/>
      <c r="J133" s="169"/>
      <c r="K133" s="169"/>
      <c r="L133" s="169"/>
      <c r="M133" s="192"/>
      <c r="N133" s="168"/>
      <c r="O133" s="274" t="s">
        <v>174</v>
      </c>
      <c r="P133" s="274"/>
      <c r="Q133" s="274"/>
      <c r="R133" s="274"/>
      <c r="S133" s="274"/>
      <c r="T133" s="317" t="s">
        <v>80</v>
      </c>
      <c r="U133" s="317"/>
      <c r="V133" s="319" t="s">
        <v>79</v>
      </c>
      <c r="W133" s="319"/>
      <c r="X133" s="134" t="s">
        <v>40</v>
      </c>
      <c r="Y133" s="84"/>
      <c r="Z133" s="84"/>
      <c r="AA133" s="88"/>
      <c r="AB133" s="88"/>
      <c r="AC133" s="88"/>
      <c r="AD133" s="88"/>
      <c r="AE133" s="88"/>
      <c r="AF133" s="88"/>
      <c r="AG133" s="88"/>
      <c r="AH133" s="88"/>
      <c r="AI133" s="84"/>
      <c r="AJ133" s="23"/>
      <c r="AK133" s="23"/>
      <c r="AL133" s="23"/>
      <c r="AM133" s="23"/>
      <c r="AN133" s="23"/>
      <c r="AO133" s="23"/>
      <c r="AP133" s="23"/>
      <c r="AQ133" s="10"/>
      <c r="AR133" s="12"/>
      <c r="AS133" s="12"/>
      <c r="AT133" s="12"/>
      <c r="AU133" s="12"/>
      <c r="AV133" s="12"/>
      <c r="AW133" s="12"/>
      <c r="AX133" s="12"/>
      <c r="AY133" s="12"/>
      <c r="AZ133" s="12"/>
      <c r="BA133" s="12"/>
      <c r="BB133" s="12"/>
      <c r="BC133" s="12"/>
      <c r="BD133" s="12"/>
      <c r="BE133" s="12"/>
      <c r="BF133" s="12"/>
      <c r="BG133" s="12"/>
      <c r="BH133" s="12"/>
      <c r="BI133" s="12"/>
    </row>
    <row r="134" spans="1:61" s="11" customFormat="1" ht="12.75" customHeight="1" x14ac:dyDescent="0.2">
      <c r="A134" s="188"/>
      <c r="B134" s="118" t="str">
        <f t="shared" ref="B134:B139" si="45">V134</f>
        <v>monthly</v>
      </c>
      <c r="C134" s="118" t="str">
        <f t="shared" si="36"/>
        <v/>
      </c>
      <c r="D134" s="118" t="s">
        <v>78</v>
      </c>
      <c r="E134" s="118" t="str">
        <f t="shared" si="40"/>
        <v/>
      </c>
      <c r="F134" s="169">
        <f>IF(G134&gt;0,N134,0)</f>
        <v>0</v>
      </c>
      <c r="G134" s="169">
        <f>COUNTIF(H134,"&gt;0")</f>
        <v>0</v>
      </c>
      <c r="H134" s="192" t="e">
        <f>SEARCH("lunch",O134)</f>
        <v>#VALUE!</v>
      </c>
      <c r="I134" s="169" t="s">
        <v>12</v>
      </c>
      <c r="J134" s="169"/>
      <c r="K134" s="169"/>
      <c r="L134" s="169"/>
      <c r="M134" s="168">
        <f t="shared" ref="M134:M146" si="46">COUNTIF(T134,"&gt;0")</f>
        <v>0</v>
      </c>
      <c r="N134" s="168">
        <f>IF(V134="weekly", (T134*52)/12, IF(V134="bi-weekly", (T134*26)/12, IF(V134="semi-monthly", (T134*24)/12, IF(V134="monthly", T134, IF(V134="every 2 months", (T134*6)/12, IF(V134="every 3 months", (T134/3), IF(V134="quarterly", (T134/3), IF(V134="every 4 months", (T134/4), IF(V134="every 6 months", (T134/6), IF(V134="every 8 months", (T134/8), IF(V134="every 10 months", (T134/10), IF(V134="annually", T134/12, T134))))))))))))</f>
        <v>0</v>
      </c>
      <c r="O134" s="268" t="s">
        <v>12</v>
      </c>
      <c r="P134" s="268"/>
      <c r="Q134" s="268"/>
      <c r="R134" s="268"/>
      <c r="S134" s="268"/>
      <c r="T134" s="244"/>
      <c r="U134" s="244"/>
      <c r="V134" s="240" t="s">
        <v>71</v>
      </c>
      <c r="W134" s="240"/>
      <c r="X134" s="48"/>
      <c r="Y134" s="84"/>
      <c r="Z134" s="84"/>
      <c r="AA134" s="88"/>
      <c r="AB134" s="88"/>
      <c r="AC134" s="88"/>
      <c r="AD134" s="88"/>
      <c r="AE134" s="88"/>
      <c r="AF134" s="88"/>
      <c r="AG134" s="88"/>
      <c r="AH134" s="88"/>
      <c r="AI134" s="84"/>
      <c r="AJ134" s="23"/>
      <c r="AK134" s="23"/>
      <c r="AL134" s="23"/>
      <c r="AM134" s="23"/>
      <c r="AN134" s="23"/>
      <c r="AO134" s="23"/>
      <c r="AP134" s="23"/>
      <c r="AQ134" s="10"/>
      <c r="AR134" s="12"/>
      <c r="AS134" s="12"/>
      <c r="AT134" s="12"/>
      <c r="AU134" s="12"/>
      <c r="AV134" s="12"/>
      <c r="AW134" s="12"/>
      <c r="AX134" s="12"/>
      <c r="AY134" s="12"/>
      <c r="AZ134" s="12"/>
      <c r="BA134" s="12"/>
      <c r="BB134" s="12"/>
      <c r="BC134" s="12"/>
      <c r="BD134" s="12"/>
      <c r="BE134" s="12"/>
      <c r="BF134" s="12"/>
      <c r="BG134" s="12"/>
      <c r="BH134" s="12"/>
      <c r="BI134" s="12"/>
    </row>
    <row r="135" spans="1:61" s="11" customFormat="1" ht="12.75" customHeight="1" x14ac:dyDescent="0.2">
      <c r="A135" s="188"/>
      <c r="B135" s="118" t="str">
        <f t="shared" si="45"/>
        <v>monthly</v>
      </c>
      <c r="C135" s="118" t="str">
        <f t="shared" si="36"/>
        <v/>
      </c>
      <c r="D135" s="118" t="s">
        <v>78</v>
      </c>
      <c r="E135" s="118" t="str">
        <f>C135</f>
        <v/>
      </c>
      <c r="F135" s="169">
        <f t="shared" ref="F135:F139" si="47">IF(G135&gt;0,N135,0)</f>
        <v>0</v>
      </c>
      <c r="G135" s="169">
        <f t="shared" ref="G135:G139" si="48">COUNTIF(H135,"&gt;0")</f>
        <v>1</v>
      </c>
      <c r="H135" s="192">
        <f t="shared" ref="H135:H139" si="49">SEARCH("lunch",O135)</f>
        <v>6</v>
      </c>
      <c r="I135" s="163" t="str">
        <f>IF(OR(T4="First Name", T4=""), CONCATENATE(K135,L135), CONCATENATE(PROPER(T4),J135,K135))</f>
        <v>Work Lunches / Breaks (Person 1)</v>
      </c>
      <c r="J135" s="167" t="s">
        <v>102</v>
      </c>
      <c r="K135" s="163" t="s">
        <v>110</v>
      </c>
      <c r="L135" s="167" t="s">
        <v>112</v>
      </c>
      <c r="M135" s="168">
        <f t="shared" si="46"/>
        <v>0</v>
      </c>
      <c r="N135" s="168">
        <f t="shared" ref="N135:N171" si="50">IF(V135="weekly", (T135*52)/12, IF(V135="bi-weekly", (T135*26)/12, IF(V135="semi-monthly", (T135*24)/12, IF(V135="monthly", T135, IF(V135="every 2 months", (T135*6)/12, IF(V135="every 3 months", (T135/3), IF(V135="quarterly", (T135/3), IF(V135="every 4 months", (T135/4), IF(V135="every 6 months", (T135/6), IF(V135="every 8 months", (T135/8), IF(V135="every 10 months", (T135/10), IF(V135="annually", T135/12, T135))))))))))))</f>
        <v>0</v>
      </c>
      <c r="O135" s="236" t="s">
        <v>110</v>
      </c>
      <c r="P135" s="236"/>
      <c r="Q135" s="236"/>
      <c r="R135" s="236"/>
      <c r="S135" s="236"/>
      <c r="T135" s="245"/>
      <c r="U135" s="245"/>
      <c r="V135" s="238" t="s">
        <v>71</v>
      </c>
      <c r="W135" s="238"/>
      <c r="X135" s="49"/>
      <c r="Y135" s="84"/>
      <c r="Z135" s="84"/>
      <c r="AA135" s="88"/>
      <c r="AB135" s="88"/>
      <c r="AC135" s="88"/>
      <c r="AD135" s="88"/>
      <c r="AE135" s="88"/>
      <c r="AF135" s="88"/>
      <c r="AG135" s="88"/>
      <c r="AH135" s="88"/>
      <c r="AI135" s="84"/>
      <c r="AJ135" s="23"/>
      <c r="AK135" s="23"/>
      <c r="AL135" s="23"/>
      <c r="AM135" s="23"/>
      <c r="AN135" s="23"/>
      <c r="AO135" s="23"/>
      <c r="AP135" s="23"/>
      <c r="AQ135" s="10"/>
      <c r="AR135" s="12"/>
      <c r="AS135" s="12"/>
      <c r="AT135" s="12"/>
      <c r="AU135" s="12"/>
      <c r="AV135" s="12"/>
      <c r="AW135" s="12"/>
      <c r="AX135" s="12"/>
      <c r="AY135" s="12"/>
      <c r="AZ135" s="12"/>
      <c r="BA135" s="12"/>
      <c r="BB135" s="12"/>
      <c r="BC135" s="12"/>
      <c r="BD135" s="12"/>
      <c r="BE135" s="12"/>
      <c r="BF135" s="12"/>
      <c r="BG135" s="12"/>
      <c r="BH135" s="12"/>
      <c r="BI135" s="12"/>
    </row>
    <row r="136" spans="1:61" s="11" customFormat="1" ht="12.75" customHeight="1" x14ac:dyDescent="0.2">
      <c r="A136" s="188"/>
      <c r="B136" s="118" t="str">
        <f t="shared" si="45"/>
        <v>monthly</v>
      </c>
      <c r="C136" s="118" t="str">
        <f t="shared" si="36"/>
        <v/>
      </c>
      <c r="D136" s="118" t="s">
        <v>78</v>
      </c>
      <c r="E136" s="118" t="str">
        <f t="shared" si="40"/>
        <v/>
      </c>
      <c r="F136" s="169">
        <f t="shared" si="47"/>
        <v>0</v>
      </c>
      <c r="G136" s="169">
        <f t="shared" si="48"/>
        <v>0</v>
      </c>
      <c r="H136" s="192" t="e">
        <f t="shared" si="49"/>
        <v>#VALUE!</v>
      </c>
      <c r="I136" s="163" t="str">
        <f>IF(OR(T6="First Name", T6=""), CONCATENATE(K136,L136), CONCATENATE(PROPER(T6),J136,K136))</f>
        <v>Work Lunches / Breaks (Person 2)</v>
      </c>
      <c r="J136" s="167" t="s">
        <v>102</v>
      </c>
      <c r="K136" s="163" t="s">
        <v>110</v>
      </c>
      <c r="L136" s="167" t="s">
        <v>111</v>
      </c>
      <c r="M136" s="168">
        <f t="shared" si="46"/>
        <v>0</v>
      </c>
      <c r="N136" s="168">
        <f t="shared" si="50"/>
        <v>0</v>
      </c>
      <c r="O136" s="268" t="s">
        <v>190</v>
      </c>
      <c r="P136" s="268"/>
      <c r="Q136" s="268"/>
      <c r="R136" s="268"/>
      <c r="S136" s="268"/>
      <c r="T136" s="244"/>
      <c r="U136" s="244"/>
      <c r="V136" s="240" t="s">
        <v>71</v>
      </c>
      <c r="W136" s="240"/>
      <c r="X136" s="48"/>
      <c r="Y136" s="84"/>
      <c r="Z136" s="84"/>
      <c r="AA136" s="88"/>
      <c r="AB136" s="88"/>
      <c r="AC136" s="88"/>
      <c r="AD136" s="88"/>
      <c r="AE136" s="88"/>
      <c r="AF136" s="88"/>
      <c r="AG136" s="88"/>
      <c r="AH136" s="88"/>
      <c r="AI136" s="84"/>
      <c r="AJ136" s="23"/>
      <c r="AK136" s="23"/>
      <c r="AL136" s="23"/>
      <c r="AM136" s="23"/>
      <c r="AN136" s="23"/>
      <c r="AO136" s="23"/>
      <c r="AP136" s="23"/>
      <c r="AQ136" s="10"/>
      <c r="AR136" s="12"/>
      <c r="AS136" s="12"/>
      <c r="AT136" s="12"/>
      <c r="AU136" s="12"/>
      <c r="AV136" s="12"/>
      <c r="AW136" s="12"/>
      <c r="AX136" s="12"/>
      <c r="AY136" s="12"/>
      <c r="AZ136" s="12"/>
      <c r="BA136" s="12"/>
      <c r="BB136" s="12"/>
      <c r="BC136" s="12"/>
      <c r="BD136" s="12"/>
      <c r="BE136" s="12"/>
      <c r="BF136" s="12"/>
      <c r="BG136" s="12"/>
      <c r="BH136" s="12"/>
      <c r="BI136" s="12"/>
    </row>
    <row r="137" spans="1:61" s="11" customFormat="1" ht="12.75" customHeight="1" x14ac:dyDescent="0.2">
      <c r="A137" s="188"/>
      <c r="B137" s="118" t="str">
        <f t="shared" si="45"/>
        <v>monthly</v>
      </c>
      <c r="C137" s="118" t="str">
        <f t="shared" si="36"/>
        <v/>
      </c>
      <c r="D137" s="118" t="s">
        <v>78</v>
      </c>
      <c r="E137" s="118" t="str">
        <f t="shared" si="40"/>
        <v/>
      </c>
      <c r="F137" s="169">
        <f t="shared" si="47"/>
        <v>0</v>
      </c>
      <c r="G137" s="169">
        <f t="shared" si="48"/>
        <v>0</v>
      </c>
      <c r="H137" s="192" t="e">
        <f t="shared" si="49"/>
        <v>#VALUE!</v>
      </c>
      <c r="I137" s="163" t="s">
        <v>190</v>
      </c>
      <c r="J137" s="169"/>
      <c r="K137" s="169"/>
      <c r="L137" s="169"/>
      <c r="M137" s="168">
        <f t="shared" si="46"/>
        <v>0</v>
      </c>
      <c r="N137" s="168">
        <f t="shared" si="50"/>
        <v>0</v>
      </c>
      <c r="O137" s="236" t="s">
        <v>403</v>
      </c>
      <c r="P137" s="236"/>
      <c r="Q137" s="236"/>
      <c r="R137" s="236"/>
      <c r="S137" s="236"/>
      <c r="T137" s="245"/>
      <c r="U137" s="245"/>
      <c r="V137" s="238" t="s">
        <v>71</v>
      </c>
      <c r="W137" s="238"/>
      <c r="X137" s="47"/>
      <c r="Y137" s="84"/>
      <c r="Z137" s="84"/>
      <c r="AA137" s="88"/>
      <c r="AB137" s="88"/>
      <c r="AC137" s="88"/>
      <c r="AD137" s="88"/>
      <c r="AE137" s="88"/>
      <c r="AF137" s="88"/>
      <c r="AG137" s="88"/>
      <c r="AH137" s="88"/>
      <c r="AI137" s="84"/>
      <c r="AJ137" s="23"/>
      <c r="AK137" s="23"/>
      <c r="AL137" s="23"/>
      <c r="AM137" s="23"/>
      <c r="AN137" s="23"/>
      <c r="AO137" s="23"/>
      <c r="AP137" s="23"/>
      <c r="AQ137" s="10"/>
      <c r="AR137" s="12"/>
      <c r="AS137" s="12"/>
      <c r="AT137" s="12"/>
      <c r="AU137" s="12"/>
      <c r="AV137" s="12"/>
      <c r="AW137" s="12"/>
      <c r="AX137" s="12"/>
      <c r="AY137" s="12"/>
      <c r="AZ137" s="12"/>
      <c r="BA137" s="12"/>
      <c r="BB137" s="12"/>
      <c r="BC137" s="12"/>
      <c r="BD137" s="12"/>
      <c r="BE137" s="12"/>
      <c r="BF137" s="12"/>
      <c r="BG137" s="12"/>
      <c r="BH137" s="12"/>
      <c r="BI137" s="12"/>
    </row>
    <row r="138" spans="1:61" s="11" customFormat="1" ht="12.75" customHeight="1" x14ac:dyDescent="0.2">
      <c r="A138" s="188"/>
      <c r="B138" s="118" t="str">
        <f t="shared" si="45"/>
        <v>monthly</v>
      </c>
      <c r="C138" s="118" t="str">
        <f t="shared" si="36"/>
        <v/>
      </c>
      <c r="D138" s="118" t="s">
        <v>78</v>
      </c>
      <c r="E138" s="118" t="str">
        <f t="shared" si="40"/>
        <v/>
      </c>
      <c r="F138" s="169">
        <f t="shared" si="47"/>
        <v>0</v>
      </c>
      <c r="G138" s="169">
        <f t="shared" si="48"/>
        <v>0</v>
      </c>
      <c r="H138" s="192" t="e">
        <f t="shared" si="49"/>
        <v>#VALUE!</v>
      </c>
      <c r="I138" s="163" t="s">
        <v>189</v>
      </c>
      <c r="J138" s="169"/>
      <c r="K138" s="169"/>
      <c r="L138" s="169">
        <f>SUM(M134:M139)</f>
        <v>0</v>
      </c>
      <c r="M138" s="168">
        <f t="shared" si="46"/>
        <v>0</v>
      </c>
      <c r="N138" s="168">
        <f t="shared" si="50"/>
        <v>0</v>
      </c>
      <c r="O138" s="268"/>
      <c r="P138" s="268"/>
      <c r="Q138" s="268"/>
      <c r="R138" s="268"/>
      <c r="S138" s="268"/>
      <c r="T138" s="244"/>
      <c r="U138" s="244"/>
      <c r="V138" s="240" t="s">
        <v>71</v>
      </c>
      <c r="W138" s="240"/>
      <c r="X138" s="46"/>
      <c r="Y138" s="84"/>
      <c r="Z138" s="84"/>
      <c r="AA138" s="88"/>
      <c r="AB138" s="88"/>
      <c r="AC138" s="88"/>
      <c r="AD138" s="88"/>
      <c r="AE138" s="88"/>
      <c r="AF138" s="88"/>
      <c r="AG138" s="88"/>
      <c r="AH138" s="88"/>
      <c r="AI138" s="84"/>
      <c r="AJ138" s="23"/>
      <c r="AK138" s="23"/>
      <c r="AL138" s="23"/>
      <c r="AM138" s="23"/>
      <c r="AN138" s="23"/>
      <c r="AO138" s="23"/>
      <c r="AP138" s="23"/>
      <c r="AQ138" s="10"/>
      <c r="AR138" s="12"/>
      <c r="AS138" s="12"/>
      <c r="AT138" s="12"/>
      <c r="AU138" s="12"/>
      <c r="AV138" s="12"/>
      <c r="AW138" s="12"/>
      <c r="AX138" s="12"/>
      <c r="AY138" s="12"/>
      <c r="AZ138" s="12"/>
      <c r="BA138" s="12"/>
      <c r="BB138" s="12"/>
      <c r="BC138" s="12"/>
      <c r="BD138" s="12"/>
      <c r="BE138" s="12"/>
      <c r="BF138" s="12"/>
      <c r="BG138" s="12"/>
      <c r="BH138" s="12"/>
      <c r="BI138" s="12"/>
    </row>
    <row r="139" spans="1:61" s="11" customFormat="1" ht="12.75" customHeight="1" x14ac:dyDescent="0.2">
      <c r="A139" s="188"/>
      <c r="B139" s="118" t="str">
        <f t="shared" si="45"/>
        <v>monthly</v>
      </c>
      <c r="C139" s="118" t="str">
        <f t="shared" si="36"/>
        <v/>
      </c>
      <c r="D139" s="118" t="s">
        <v>78</v>
      </c>
      <c r="E139" s="118" t="str">
        <f t="shared" si="40"/>
        <v/>
      </c>
      <c r="F139" s="194">
        <f t="shared" si="47"/>
        <v>0</v>
      </c>
      <c r="G139" s="194">
        <f t="shared" si="48"/>
        <v>0</v>
      </c>
      <c r="H139" s="192" t="e">
        <f t="shared" si="49"/>
        <v>#VALUE!</v>
      </c>
      <c r="I139" s="169"/>
      <c r="J139" s="169"/>
      <c r="K139" s="169"/>
      <c r="L139" s="163" t="s">
        <v>74</v>
      </c>
      <c r="M139" s="168">
        <f>COUNTIF(T139,"&gt;0")</f>
        <v>0</v>
      </c>
      <c r="N139" s="168">
        <f t="shared" si="50"/>
        <v>0</v>
      </c>
      <c r="O139" s="235"/>
      <c r="P139" s="235"/>
      <c r="Q139" s="235"/>
      <c r="R139" s="235"/>
      <c r="S139" s="235"/>
      <c r="T139" s="245"/>
      <c r="U139" s="245"/>
      <c r="V139" s="238" t="s">
        <v>71</v>
      </c>
      <c r="W139" s="238"/>
      <c r="X139" s="49"/>
      <c r="Y139" s="84"/>
      <c r="Z139" s="84"/>
      <c r="AA139" s="88"/>
      <c r="AB139" s="88"/>
      <c r="AC139" s="88"/>
      <c r="AD139" s="88"/>
      <c r="AE139" s="88"/>
      <c r="AF139" s="88"/>
      <c r="AG139" s="88"/>
      <c r="AH139" s="88"/>
      <c r="AI139" s="84"/>
      <c r="AJ139" s="23"/>
      <c r="AK139" s="23"/>
      <c r="AL139" s="23"/>
      <c r="AM139" s="23"/>
      <c r="AN139" s="23"/>
      <c r="AO139" s="23"/>
      <c r="AP139" s="23"/>
      <c r="AQ139" s="10"/>
      <c r="AR139" s="12"/>
      <c r="AS139" s="12"/>
      <c r="AT139" s="12"/>
      <c r="AU139" s="12"/>
      <c r="AV139" s="12"/>
      <c r="AW139" s="12"/>
      <c r="AX139" s="12"/>
      <c r="AY139" s="12"/>
      <c r="AZ139" s="12"/>
      <c r="BA139" s="12"/>
      <c r="BB139" s="12"/>
      <c r="BC139" s="12"/>
      <c r="BD139" s="12"/>
      <c r="BE139" s="12"/>
      <c r="BF139" s="12"/>
      <c r="BG139" s="12"/>
      <c r="BH139" s="12"/>
      <c r="BI139" s="12"/>
    </row>
    <row r="140" spans="1:61" s="11" customFormat="1" ht="12.75" customHeight="1" x14ac:dyDescent="0.2">
      <c r="A140" s="188"/>
      <c r="B140" s="118"/>
      <c r="C140" s="118"/>
      <c r="D140" s="118"/>
      <c r="E140" s="118"/>
      <c r="F140" s="169">
        <f>SUM(F134:F139)</f>
        <v>0</v>
      </c>
      <c r="G140" s="169">
        <f>SUM(G134:G139)</f>
        <v>1</v>
      </c>
      <c r="H140" s="169" t="s">
        <v>292</v>
      </c>
      <c r="I140" s="163" t="s">
        <v>380</v>
      </c>
      <c r="J140" s="169"/>
      <c r="K140" s="169"/>
      <c r="L140" s="169" t="s">
        <v>72</v>
      </c>
      <c r="M140" s="168"/>
      <c r="N140" s="168"/>
      <c r="O140" s="269" t="s">
        <v>384</v>
      </c>
      <c r="P140" s="269"/>
      <c r="Q140" s="269"/>
      <c r="R140" s="269"/>
      <c r="S140" s="269"/>
      <c r="T140" s="317" t="s">
        <v>80</v>
      </c>
      <c r="U140" s="317"/>
      <c r="V140" s="284" t="s">
        <v>79</v>
      </c>
      <c r="W140" s="284"/>
      <c r="X140" s="134" t="s">
        <v>40</v>
      </c>
      <c r="Y140" s="84"/>
      <c r="Z140" s="84"/>
      <c r="AA140" s="88"/>
      <c r="AB140" s="88"/>
      <c r="AC140" s="88"/>
      <c r="AD140" s="88"/>
      <c r="AE140" s="88"/>
      <c r="AF140" s="88"/>
      <c r="AG140" s="88"/>
      <c r="AH140" s="88"/>
      <c r="AI140" s="84"/>
      <c r="AJ140" s="23"/>
      <c r="AK140" s="23"/>
      <c r="AL140" s="23"/>
      <c r="AM140" s="23"/>
      <c r="AN140" s="23"/>
      <c r="AO140" s="23"/>
      <c r="AP140" s="23"/>
      <c r="AQ140" s="10"/>
      <c r="AR140" s="12"/>
      <c r="AS140" s="12"/>
      <c r="AT140" s="12"/>
      <c r="AU140" s="12"/>
      <c r="AV140" s="12"/>
      <c r="AW140" s="12"/>
      <c r="AX140" s="12"/>
      <c r="AY140" s="12"/>
      <c r="AZ140" s="12"/>
      <c r="BA140" s="12"/>
      <c r="BB140" s="12"/>
      <c r="BC140" s="12"/>
      <c r="BD140" s="12"/>
      <c r="BE140" s="12"/>
      <c r="BF140" s="12"/>
      <c r="BG140" s="12"/>
      <c r="BH140" s="12"/>
      <c r="BI140" s="12"/>
    </row>
    <row r="141" spans="1:61" s="7" customFormat="1" x14ac:dyDescent="0.2">
      <c r="A141" s="118"/>
      <c r="B141" s="118" t="str">
        <f t="shared" ref="B141:B164" si="51">V141</f>
        <v>monthly</v>
      </c>
      <c r="C141" s="118" t="str">
        <f t="shared" si="36"/>
        <v/>
      </c>
      <c r="D141" s="118" t="s">
        <v>78</v>
      </c>
      <c r="E141" s="118" t="str">
        <f t="shared" si="40"/>
        <v/>
      </c>
      <c r="F141" s="163"/>
      <c r="G141" s="163"/>
      <c r="H141" s="163"/>
      <c r="I141" s="118" t="s">
        <v>383</v>
      </c>
      <c r="J141" s="163"/>
      <c r="K141" s="163"/>
      <c r="L141" s="163" t="s">
        <v>73</v>
      </c>
      <c r="M141" s="168">
        <f t="shared" si="46"/>
        <v>0</v>
      </c>
      <c r="N141" s="168">
        <f t="shared" si="50"/>
        <v>0</v>
      </c>
      <c r="O141" s="268" t="s">
        <v>380</v>
      </c>
      <c r="P141" s="268"/>
      <c r="Q141" s="268"/>
      <c r="R141" s="268"/>
      <c r="S141" s="268"/>
      <c r="T141" s="239"/>
      <c r="U141" s="239"/>
      <c r="V141" s="240" t="s">
        <v>71</v>
      </c>
      <c r="W141" s="240"/>
      <c r="X141" s="44"/>
      <c r="Y141" s="76"/>
      <c r="Z141" s="76"/>
      <c r="AA141" s="86"/>
      <c r="AB141" s="86"/>
      <c r="AC141" s="86"/>
      <c r="AD141" s="86"/>
      <c r="AE141" s="86"/>
      <c r="AF141" s="86"/>
      <c r="AG141" s="86"/>
      <c r="AH141" s="86"/>
      <c r="AI141" s="76"/>
      <c r="AJ141" s="9"/>
      <c r="AK141" s="9"/>
      <c r="AL141" s="9"/>
      <c r="AM141" s="9"/>
      <c r="AN141" s="9"/>
      <c r="AO141" s="9"/>
      <c r="AP141" s="9"/>
      <c r="AQ141" s="6"/>
      <c r="AR141" s="8"/>
      <c r="AS141" s="8"/>
      <c r="AT141" s="8"/>
      <c r="AU141" s="8"/>
      <c r="AV141" s="8"/>
      <c r="AW141" s="8"/>
      <c r="AX141" s="8"/>
      <c r="AY141" s="8"/>
      <c r="AZ141" s="8"/>
      <c r="BA141" s="8"/>
      <c r="BB141" s="8"/>
      <c r="BC141" s="8"/>
      <c r="BD141" s="8"/>
      <c r="BE141" s="8"/>
      <c r="BF141" s="8"/>
      <c r="BG141" s="8"/>
      <c r="BH141" s="8"/>
      <c r="BI141" s="8"/>
    </row>
    <row r="142" spans="1:61" s="7" customFormat="1" x14ac:dyDescent="0.2">
      <c r="A142" s="118"/>
      <c r="B142" s="118" t="str">
        <f t="shared" si="51"/>
        <v>monthly</v>
      </c>
      <c r="C142" s="118" t="str">
        <f t="shared" si="36"/>
        <v/>
      </c>
      <c r="D142" s="118" t="s">
        <v>78</v>
      </c>
      <c r="E142" s="118" t="str">
        <f t="shared" si="40"/>
        <v/>
      </c>
      <c r="F142" s="163"/>
      <c r="G142" s="163"/>
      <c r="H142" s="163"/>
      <c r="I142" s="118" t="s">
        <v>382</v>
      </c>
      <c r="J142" s="163"/>
      <c r="K142" s="163"/>
      <c r="L142" s="163" t="s">
        <v>71</v>
      </c>
      <c r="M142" s="168">
        <f t="shared" si="46"/>
        <v>0</v>
      </c>
      <c r="N142" s="168">
        <f t="shared" si="50"/>
        <v>0</v>
      </c>
      <c r="O142" s="236" t="s">
        <v>383</v>
      </c>
      <c r="P142" s="236"/>
      <c r="Q142" s="236"/>
      <c r="R142" s="236"/>
      <c r="S142" s="236"/>
      <c r="T142" s="271"/>
      <c r="U142" s="271"/>
      <c r="V142" s="238" t="s">
        <v>71</v>
      </c>
      <c r="W142" s="238"/>
      <c r="X142" s="45"/>
      <c r="Y142" s="76"/>
      <c r="Z142" s="76"/>
      <c r="AA142" s="86"/>
      <c r="AB142" s="86"/>
      <c r="AC142" s="86"/>
      <c r="AD142" s="86"/>
      <c r="AE142" s="86"/>
      <c r="AF142" s="86"/>
      <c r="AG142" s="86"/>
      <c r="AH142" s="86"/>
      <c r="AI142" s="76"/>
      <c r="AJ142" s="9"/>
      <c r="AK142" s="9"/>
      <c r="AL142" s="9"/>
      <c r="AM142" s="9"/>
      <c r="AN142" s="9"/>
      <c r="AO142" s="9"/>
      <c r="AP142" s="9"/>
      <c r="AQ142" s="6"/>
      <c r="AR142" s="8"/>
      <c r="AS142" s="8"/>
      <c r="AT142" s="8"/>
      <c r="AU142" s="8"/>
      <c r="AV142" s="8"/>
      <c r="AW142" s="8"/>
      <c r="AX142" s="8"/>
      <c r="AY142" s="8"/>
      <c r="AZ142" s="8"/>
      <c r="BA142" s="8"/>
      <c r="BB142" s="8"/>
      <c r="BC142" s="8"/>
      <c r="BD142" s="8"/>
      <c r="BE142" s="8"/>
      <c r="BF142" s="8"/>
      <c r="BG142" s="8"/>
      <c r="BH142" s="8"/>
      <c r="BI142" s="8"/>
    </row>
    <row r="143" spans="1:61" s="7" customFormat="1" x14ac:dyDescent="0.2">
      <c r="A143" s="118"/>
      <c r="B143" s="118" t="str">
        <f t="shared" si="51"/>
        <v>monthly</v>
      </c>
      <c r="C143" s="118" t="str">
        <f t="shared" si="36"/>
        <v/>
      </c>
      <c r="D143" s="118" t="s">
        <v>78</v>
      </c>
      <c r="E143" s="118" t="str">
        <f t="shared" si="40"/>
        <v/>
      </c>
      <c r="F143" s="163"/>
      <c r="G143" s="163"/>
      <c r="H143" s="163"/>
      <c r="I143" s="118" t="s">
        <v>381</v>
      </c>
      <c r="J143" s="163"/>
      <c r="K143" s="163"/>
      <c r="L143" s="163" t="s">
        <v>76</v>
      </c>
      <c r="M143" s="168">
        <f t="shared" si="46"/>
        <v>0</v>
      </c>
      <c r="N143" s="168">
        <f t="shared" si="50"/>
        <v>0</v>
      </c>
      <c r="O143" s="268" t="s">
        <v>382</v>
      </c>
      <c r="P143" s="268"/>
      <c r="Q143" s="268"/>
      <c r="R143" s="268"/>
      <c r="S143" s="268"/>
      <c r="T143" s="239"/>
      <c r="U143" s="239"/>
      <c r="V143" s="240" t="s">
        <v>71</v>
      </c>
      <c r="W143" s="240"/>
      <c r="X143" s="44"/>
      <c r="Y143" s="76"/>
      <c r="Z143" s="76"/>
      <c r="AA143" s="86"/>
      <c r="AB143" s="86"/>
      <c r="AC143" s="86"/>
      <c r="AD143" s="86"/>
      <c r="AE143" s="86"/>
      <c r="AF143" s="86"/>
      <c r="AG143" s="86"/>
      <c r="AH143" s="86"/>
      <c r="AI143" s="76"/>
      <c r="AJ143" s="9"/>
      <c r="AK143" s="9"/>
      <c r="AL143" s="9"/>
      <c r="AM143" s="9"/>
      <c r="AN143" s="9"/>
      <c r="AO143" s="9"/>
      <c r="AP143" s="9"/>
      <c r="AQ143" s="6"/>
      <c r="AR143" s="8"/>
      <c r="AS143" s="8"/>
      <c r="AT143" s="8"/>
      <c r="AU143" s="8"/>
      <c r="AV143" s="8"/>
      <c r="AW143" s="8"/>
      <c r="AX143" s="8"/>
      <c r="AY143" s="8"/>
      <c r="AZ143" s="8"/>
      <c r="BA143" s="8"/>
      <c r="BB143" s="8"/>
      <c r="BC143" s="8"/>
      <c r="BD143" s="8"/>
      <c r="BE143" s="8"/>
      <c r="BF143" s="8"/>
      <c r="BG143" s="8"/>
      <c r="BH143" s="8"/>
      <c r="BI143" s="8"/>
    </row>
    <row r="144" spans="1:61" s="7" customFormat="1" x14ac:dyDescent="0.2">
      <c r="A144" s="118"/>
      <c r="B144" s="118" t="str">
        <f t="shared" si="51"/>
        <v>monthly</v>
      </c>
      <c r="C144" s="118" t="str">
        <f t="shared" si="36"/>
        <v/>
      </c>
      <c r="D144" s="118" t="s">
        <v>78</v>
      </c>
      <c r="E144" s="118" t="str">
        <f t="shared" si="40"/>
        <v/>
      </c>
      <c r="F144" s="163"/>
      <c r="G144" s="163"/>
      <c r="H144" s="163"/>
      <c r="I144" s="163" t="s">
        <v>176</v>
      </c>
      <c r="J144" s="163"/>
      <c r="K144" s="163"/>
      <c r="L144" s="163" t="s">
        <v>78</v>
      </c>
      <c r="M144" s="168">
        <f t="shared" si="46"/>
        <v>0</v>
      </c>
      <c r="N144" s="168">
        <f t="shared" si="50"/>
        <v>0</v>
      </c>
      <c r="O144" s="236" t="s">
        <v>381</v>
      </c>
      <c r="P144" s="236"/>
      <c r="Q144" s="236"/>
      <c r="R144" s="236"/>
      <c r="S144" s="236"/>
      <c r="T144" s="271"/>
      <c r="U144" s="271"/>
      <c r="V144" s="238" t="s">
        <v>71</v>
      </c>
      <c r="W144" s="238"/>
      <c r="X144" s="45"/>
      <c r="Y144" s="76"/>
      <c r="Z144" s="76"/>
      <c r="AA144" s="86"/>
      <c r="AB144" s="86"/>
      <c r="AC144" s="86"/>
      <c r="AD144" s="86"/>
      <c r="AE144" s="86"/>
      <c r="AF144" s="86"/>
      <c r="AG144" s="86"/>
      <c r="AH144" s="86"/>
      <c r="AI144" s="76"/>
      <c r="AJ144" s="9"/>
      <c r="AK144" s="9"/>
      <c r="AL144" s="9"/>
      <c r="AM144" s="9"/>
      <c r="AN144" s="9"/>
      <c r="AO144" s="9"/>
      <c r="AP144" s="9"/>
      <c r="AQ144" s="6"/>
      <c r="AR144" s="8"/>
      <c r="AS144" s="8"/>
      <c r="AT144" s="8"/>
      <c r="AU144" s="8"/>
      <c r="AV144" s="8"/>
      <c r="AW144" s="8"/>
      <c r="AX144" s="8"/>
      <c r="AY144" s="8"/>
      <c r="AZ144" s="8"/>
      <c r="BA144" s="8"/>
      <c r="BB144" s="8"/>
      <c r="BC144" s="8"/>
      <c r="BD144" s="8"/>
      <c r="BE144" s="8"/>
      <c r="BF144" s="8"/>
      <c r="BG144" s="8"/>
      <c r="BH144" s="8"/>
      <c r="BI144" s="8"/>
    </row>
    <row r="145" spans="1:61" s="7" customFormat="1" x14ac:dyDescent="0.2">
      <c r="A145" s="118"/>
      <c r="B145" s="118" t="str">
        <f t="shared" si="51"/>
        <v>monthly</v>
      </c>
      <c r="C145" s="118" t="str">
        <f t="shared" si="36"/>
        <v/>
      </c>
      <c r="D145" s="118" t="s">
        <v>78</v>
      </c>
      <c r="E145" s="118" t="str">
        <f t="shared" si="40"/>
        <v/>
      </c>
      <c r="F145" s="163"/>
      <c r="G145" s="163"/>
      <c r="H145" s="163"/>
      <c r="I145" s="163" t="s">
        <v>128</v>
      </c>
      <c r="J145" s="163"/>
      <c r="K145" s="163"/>
      <c r="L145" s="163"/>
      <c r="M145" s="168">
        <f t="shared" si="46"/>
        <v>0</v>
      </c>
      <c r="N145" s="168">
        <f t="shared" si="50"/>
        <v>0</v>
      </c>
      <c r="O145" s="268" t="s">
        <v>176</v>
      </c>
      <c r="P145" s="268"/>
      <c r="Q145" s="268"/>
      <c r="R145" s="268"/>
      <c r="S145" s="268"/>
      <c r="T145" s="239"/>
      <c r="U145" s="239"/>
      <c r="V145" s="240" t="s">
        <v>71</v>
      </c>
      <c r="W145" s="240"/>
      <c r="X145" s="44"/>
      <c r="Y145" s="76"/>
      <c r="Z145" s="76"/>
      <c r="AA145" s="86"/>
      <c r="AB145" s="86"/>
      <c r="AC145" s="86"/>
      <c r="AD145" s="86"/>
      <c r="AE145" s="86"/>
      <c r="AF145" s="86"/>
      <c r="AG145" s="86"/>
      <c r="AH145" s="86"/>
      <c r="AI145" s="76"/>
      <c r="AJ145" s="9"/>
      <c r="AK145" s="9"/>
      <c r="AL145" s="9"/>
      <c r="AM145" s="9"/>
      <c r="AN145" s="9"/>
      <c r="AO145" s="9"/>
      <c r="AP145" s="9"/>
      <c r="AQ145" s="6"/>
      <c r="AR145" s="8"/>
      <c r="AS145" s="8"/>
      <c r="AT145" s="8"/>
      <c r="AU145" s="8"/>
      <c r="AV145" s="8"/>
      <c r="AW145" s="8"/>
      <c r="AX145" s="8"/>
      <c r="AY145" s="8"/>
      <c r="AZ145" s="8"/>
      <c r="BA145" s="8"/>
      <c r="BB145" s="8"/>
      <c r="BC145" s="8"/>
      <c r="BD145" s="8"/>
      <c r="BE145" s="8"/>
      <c r="BF145" s="8"/>
      <c r="BG145" s="8"/>
      <c r="BH145" s="8"/>
      <c r="BI145" s="8"/>
    </row>
    <row r="146" spans="1:61" s="7" customFormat="1" x14ac:dyDescent="0.2">
      <c r="A146" s="118"/>
      <c r="B146" s="118" t="str">
        <f t="shared" si="51"/>
        <v>monthly</v>
      </c>
      <c r="C146" s="118" t="str">
        <f t="shared" si="36"/>
        <v/>
      </c>
      <c r="D146" s="118" t="s">
        <v>78</v>
      </c>
      <c r="E146" s="118" t="str">
        <f t="shared" si="40"/>
        <v/>
      </c>
      <c r="F146" s="163"/>
      <c r="G146" s="163"/>
      <c r="H146" s="163"/>
      <c r="I146" s="163" t="s">
        <v>16</v>
      </c>
      <c r="J146" s="163"/>
      <c r="K146" s="163"/>
      <c r="L146" s="163"/>
      <c r="M146" s="168">
        <f t="shared" si="46"/>
        <v>0</v>
      </c>
      <c r="N146" s="168">
        <f t="shared" si="50"/>
        <v>0</v>
      </c>
      <c r="O146" s="236" t="s">
        <v>17</v>
      </c>
      <c r="P146" s="236"/>
      <c r="Q146" s="236"/>
      <c r="R146" s="236"/>
      <c r="S146" s="236"/>
      <c r="T146" s="271"/>
      <c r="U146" s="271"/>
      <c r="V146" s="238" t="s">
        <v>71</v>
      </c>
      <c r="W146" s="238"/>
      <c r="X146" s="45"/>
      <c r="Y146" s="76"/>
      <c r="Z146" s="248" t="str">
        <f>IF(OR(T12="Off",W209="Yes"), "", IF(OR(AND(O147="Entertainment (e.g. Movies, Event Tickets, Social Activities)",T147&gt;9), COUNTIF(O141:S146, "Entertainment (e.g. Movies, Event Tickets, Social Activities)")&gt;0, COUNTIF(O148:S164, "Entertainment (e.g. Movies, Event Tickets, Social Activities)")&gt;0, COUNTIF(O141:S146, "Entertainment")&gt;0, COUNTIF(O148:S164, "Entertainment")&gt;0), "Entertainment Tip", ""))</f>
        <v/>
      </c>
      <c r="AA146" s="248"/>
      <c r="AB146" s="248"/>
      <c r="AC146" s="248"/>
      <c r="AD146" s="248"/>
      <c r="AE146" s="248"/>
      <c r="AF146" s="248"/>
      <c r="AG146" s="248"/>
      <c r="AH146" s="86"/>
      <c r="AI146" s="76"/>
      <c r="AJ146" s="9"/>
      <c r="AK146" s="9"/>
      <c r="AL146" s="9"/>
      <c r="AM146" s="9"/>
      <c r="AN146" s="9"/>
      <c r="AO146" s="9"/>
      <c r="AP146" s="9"/>
      <c r="AQ146" s="6"/>
      <c r="AR146" s="8"/>
      <c r="AS146" s="8"/>
      <c r="AT146" s="8"/>
      <c r="AU146" s="8"/>
      <c r="AV146" s="8"/>
      <c r="AW146" s="8"/>
      <c r="AX146" s="8"/>
      <c r="AY146" s="8"/>
      <c r="AZ146" s="8"/>
      <c r="BA146" s="8"/>
      <c r="BB146" s="8"/>
      <c r="BC146" s="8"/>
      <c r="BD146" s="8"/>
      <c r="BE146" s="8"/>
      <c r="BF146" s="8"/>
      <c r="BG146" s="8"/>
      <c r="BH146" s="8"/>
      <c r="BI146" s="8"/>
    </row>
    <row r="147" spans="1:61" s="7" customFormat="1" ht="12.75" customHeight="1" x14ac:dyDescent="0.2">
      <c r="A147" s="118"/>
      <c r="B147" s="118" t="str">
        <f t="shared" si="51"/>
        <v>monthly</v>
      </c>
      <c r="C147" s="118" t="str">
        <f t="shared" si="36"/>
        <v/>
      </c>
      <c r="D147" s="118" t="s">
        <v>78</v>
      </c>
      <c r="E147" s="118" t="str">
        <f t="shared" si="40"/>
        <v/>
      </c>
      <c r="F147" s="163"/>
      <c r="G147" s="163"/>
      <c r="H147" s="163"/>
      <c r="I147" s="163" t="s">
        <v>17</v>
      </c>
      <c r="J147" s="163"/>
      <c r="K147" s="163"/>
      <c r="L147" s="163"/>
      <c r="M147" s="168">
        <f t="shared" ref="M147:M170" si="52">COUNTIF(T147,"&gt;0")</f>
        <v>0</v>
      </c>
      <c r="N147" s="168">
        <f t="shared" si="50"/>
        <v>0</v>
      </c>
      <c r="O147" s="268" t="s">
        <v>129</v>
      </c>
      <c r="P147" s="268"/>
      <c r="Q147" s="268"/>
      <c r="R147" s="268"/>
      <c r="S147" s="268"/>
      <c r="T147" s="239"/>
      <c r="U147" s="239"/>
      <c r="V147" s="240" t="s">
        <v>71</v>
      </c>
      <c r="W147" s="240"/>
      <c r="X147" s="44"/>
      <c r="Y147" s="76"/>
      <c r="Z147" s="258" t="str">
        <f>IF(OR(T12="Off",W209="Yes"), "", IF(OR(AND(O147="Entertainment (e.g. Movies, Event Tickets, Social Activities)",T147&gt;9), COUNTIF(O141:S146, "Entertainment (e.g. Movies, Event Tickets, Social Activities)")&gt;0, COUNTIF(O148:S164, "Entertainment (e.g. Movies, Event Tickets, Social Activities)")&gt;0, COUNTIF(O141:S146, "Entertainment")&gt;0, COUNTIF(O148:S164, "Entertainment")&gt;0), "Most campuses are teeming with free entertainment opportunities. Find them and make use of them. Check with your Students’ Association for more information.", ""))</f>
        <v/>
      </c>
      <c r="AA147" s="258"/>
      <c r="AB147" s="258"/>
      <c r="AC147" s="258"/>
      <c r="AD147" s="258"/>
      <c r="AE147" s="258"/>
      <c r="AF147" s="258"/>
      <c r="AG147" s="258"/>
      <c r="AH147" s="158"/>
      <c r="AI147" s="76"/>
      <c r="AJ147" s="9"/>
      <c r="AK147" s="9"/>
      <c r="AL147" s="9"/>
      <c r="AM147" s="9"/>
      <c r="AN147" s="9"/>
      <c r="AO147" s="9"/>
      <c r="AP147" s="9"/>
      <c r="AQ147" s="6"/>
      <c r="AR147" s="8"/>
      <c r="AS147" s="8"/>
      <c r="AT147" s="8"/>
      <c r="AU147" s="8"/>
      <c r="AV147" s="8"/>
      <c r="AW147" s="8"/>
      <c r="AX147" s="8"/>
      <c r="AY147" s="8"/>
      <c r="AZ147" s="8"/>
      <c r="BA147" s="8"/>
      <c r="BB147" s="8"/>
      <c r="BC147" s="8"/>
      <c r="BD147" s="8"/>
      <c r="BE147" s="8"/>
      <c r="BF147" s="8"/>
      <c r="BG147" s="8"/>
      <c r="BH147" s="8"/>
      <c r="BI147" s="8"/>
    </row>
    <row r="148" spans="1:61" s="7" customFormat="1" x14ac:dyDescent="0.2">
      <c r="A148" s="118"/>
      <c r="B148" s="118" t="str">
        <f t="shared" si="51"/>
        <v>monthly</v>
      </c>
      <c r="C148" s="118" t="str">
        <f t="shared" si="36"/>
        <v/>
      </c>
      <c r="D148" s="118" t="s">
        <v>78</v>
      </c>
      <c r="E148" s="118" t="str">
        <f t="shared" si="40"/>
        <v/>
      </c>
      <c r="F148" s="163"/>
      <c r="G148" s="163"/>
      <c r="H148" s="163"/>
      <c r="I148" s="163" t="s">
        <v>129</v>
      </c>
      <c r="J148" s="163"/>
      <c r="K148" s="163"/>
      <c r="L148" s="118"/>
      <c r="M148" s="168">
        <f t="shared" si="52"/>
        <v>0</v>
      </c>
      <c r="N148" s="168">
        <f t="shared" si="50"/>
        <v>0</v>
      </c>
      <c r="O148" s="236" t="s">
        <v>179</v>
      </c>
      <c r="P148" s="236"/>
      <c r="Q148" s="236"/>
      <c r="R148" s="236"/>
      <c r="S148" s="236"/>
      <c r="T148" s="271"/>
      <c r="U148" s="271"/>
      <c r="V148" s="238" t="s">
        <v>71</v>
      </c>
      <c r="W148" s="238"/>
      <c r="X148" s="45"/>
      <c r="Y148" s="76"/>
      <c r="Z148" s="258"/>
      <c r="AA148" s="258"/>
      <c r="AB148" s="258"/>
      <c r="AC148" s="258"/>
      <c r="AD148" s="258"/>
      <c r="AE148" s="258"/>
      <c r="AF148" s="258"/>
      <c r="AG148" s="258"/>
      <c r="AH148" s="158"/>
      <c r="AI148" s="76"/>
      <c r="AJ148" s="9"/>
      <c r="AK148" s="9"/>
      <c r="AL148" s="9"/>
      <c r="AM148" s="9"/>
      <c r="AN148" s="9"/>
      <c r="AO148" s="9"/>
      <c r="AP148" s="9"/>
      <c r="AQ148" s="6"/>
      <c r="AR148" s="8"/>
      <c r="AS148" s="8"/>
      <c r="AT148" s="8"/>
      <c r="AU148" s="8"/>
      <c r="AV148" s="8"/>
      <c r="AW148" s="8"/>
      <c r="AX148" s="8"/>
      <c r="AY148" s="8"/>
      <c r="AZ148" s="8"/>
      <c r="BA148" s="8"/>
      <c r="BB148" s="8"/>
      <c r="BC148" s="8"/>
      <c r="BD148" s="8"/>
      <c r="BE148" s="8"/>
      <c r="BF148" s="8"/>
      <c r="BG148" s="8"/>
      <c r="BH148" s="8"/>
      <c r="BI148" s="8"/>
    </row>
    <row r="149" spans="1:61" s="7" customFormat="1" x14ac:dyDescent="0.2">
      <c r="A149" s="118"/>
      <c r="B149" s="118" t="str">
        <f t="shared" si="51"/>
        <v>monthly</v>
      </c>
      <c r="C149" s="118" t="str">
        <f t="shared" si="36"/>
        <v/>
      </c>
      <c r="D149" s="118" t="s">
        <v>78</v>
      </c>
      <c r="E149" s="118" t="str">
        <f t="shared" si="40"/>
        <v/>
      </c>
      <c r="F149" s="163"/>
      <c r="G149" s="163"/>
      <c r="H149" s="163"/>
      <c r="I149" s="163" t="s">
        <v>179</v>
      </c>
      <c r="J149" s="163"/>
      <c r="K149" s="163"/>
      <c r="L149" s="163" t="s">
        <v>74</v>
      </c>
      <c r="M149" s="168">
        <f t="shared" si="52"/>
        <v>0</v>
      </c>
      <c r="N149" s="168">
        <f t="shared" si="50"/>
        <v>0</v>
      </c>
      <c r="O149" s="268" t="s">
        <v>130</v>
      </c>
      <c r="P149" s="268"/>
      <c r="Q149" s="268"/>
      <c r="R149" s="268"/>
      <c r="S149" s="268"/>
      <c r="T149" s="239"/>
      <c r="U149" s="239"/>
      <c r="V149" s="240" t="s">
        <v>71</v>
      </c>
      <c r="W149" s="240"/>
      <c r="X149" s="46"/>
      <c r="Y149" s="76"/>
      <c r="Z149" s="76"/>
      <c r="AA149" s="86"/>
      <c r="AB149" s="86"/>
      <c r="AC149" s="86"/>
      <c r="AD149" s="86"/>
      <c r="AE149" s="86"/>
      <c r="AF149" s="86"/>
      <c r="AG149" s="86"/>
      <c r="AH149" s="86"/>
      <c r="AI149" s="76"/>
      <c r="AJ149" s="9"/>
      <c r="AK149" s="9"/>
      <c r="AL149" s="9"/>
      <c r="AM149" s="9"/>
      <c r="AN149" s="9"/>
      <c r="AO149" s="9"/>
      <c r="AP149" s="9"/>
      <c r="AQ149" s="6"/>
      <c r="AR149" s="8"/>
      <c r="AS149" s="8"/>
      <c r="AT149" s="8"/>
      <c r="AU149" s="8"/>
      <c r="AV149" s="8"/>
      <c r="AW149" s="8"/>
      <c r="AX149" s="8"/>
      <c r="AY149" s="8"/>
      <c r="AZ149" s="8"/>
      <c r="BA149" s="8"/>
      <c r="BB149" s="8"/>
      <c r="BC149" s="8"/>
      <c r="BD149" s="8"/>
      <c r="BE149" s="8"/>
      <c r="BF149" s="8"/>
      <c r="BG149" s="8"/>
      <c r="BH149" s="8"/>
      <c r="BI149" s="8"/>
    </row>
    <row r="150" spans="1:61" s="7" customFormat="1" x14ac:dyDescent="0.2">
      <c r="A150" s="118"/>
      <c r="B150" s="118" t="str">
        <f t="shared" si="51"/>
        <v>monthly</v>
      </c>
      <c r="C150" s="118" t="str">
        <f t="shared" si="36"/>
        <v/>
      </c>
      <c r="D150" s="118" t="s">
        <v>78</v>
      </c>
      <c r="E150" s="118" t="str">
        <f t="shared" si="40"/>
        <v/>
      </c>
      <c r="F150" s="163"/>
      <c r="G150" s="163"/>
      <c r="H150" s="163"/>
      <c r="I150" s="163" t="s">
        <v>130</v>
      </c>
      <c r="J150" s="163"/>
      <c r="K150" s="163"/>
      <c r="L150" s="169" t="s">
        <v>72</v>
      </c>
      <c r="M150" s="168">
        <f t="shared" si="52"/>
        <v>0</v>
      </c>
      <c r="N150" s="168">
        <f t="shared" si="50"/>
        <v>0</v>
      </c>
      <c r="O150" s="236" t="s">
        <v>134</v>
      </c>
      <c r="P150" s="236"/>
      <c r="Q150" s="236"/>
      <c r="R150" s="236"/>
      <c r="S150" s="236"/>
      <c r="T150" s="271"/>
      <c r="U150" s="271"/>
      <c r="V150" s="238" t="s">
        <v>71</v>
      </c>
      <c r="W150" s="238"/>
      <c r="X150" s="47"/>
      <c r="Y150" s="76"/>
      <c r="Z150" s="76"/>
      <c r="AA150" s="86"/>
      <c r="AB150" s="86"/>
      <c r="AC150" s="86"/>
      <c r="AD150" s="86"/>
      <c r="AE150" s="86"/>
      <c r="AF150" s="86"/>
      <c r="AG150" s="86"/>
      <c r="AH150" s="86"/>
      <c r="AI150" s="76"/>
      <c r="AJ150" s="9"/>
      <c r="AK150" s="9"/>
      <c r="AL150" s="9"/>
      <c r="AM150" s="9"/>
      <c r="AN150" s="9"/>
      <c r="AO150" s="9"/>
      <c r="AP150" s="9"/>
      <c r="AQ150" s="6"/>
      <c r="AR150" s="8"/>
      <c r="AS150" s="8"/>
      <c r="AT150" s="8"/>
      <c r="AU150" s="8"/>
      <c r="AV150" s="8"/>
      <c r="AW150" s="8"/>
      <c r="AX150" s="8"/>
      <c r="AY150" s="8"/>
      <c r="AZ150" s="8"/>
      <c r="BA150" s="8"/>
      <c r="BB150" s="8"/>
      <c r="BC150" s="8"/>
      <c r="BD150" s="8"/>
      <c r="BE150" s="8"/>
      <c r="BF150" s="8"/>
      <c r="BG150" s="8"/>
      <c r="BH150" s="8"/>
      <c r="BI150" s="8"/>
    </row>
    <row r="151" spans="1:61" s="7" customFormat="1" x14ac:dyDescent="0.2">
      <c r="A151" s="118"/>
      <c r="B151" s="118" t="str">
        <f t="shared" si="51"/>
        <v>monthly</v>
      </c>
      <c r="C151" s="118" t="str">
        <f t="shared" si="36"/>
        <v/>
      </c>
      <c r="D151" s="118" t="s">
        <v>78</v>
      </c>
      <c r="E151" s="118" t="str">
        <f t="shared" si="40"/>
        <v/>
      </c>
      <c r="F151" s="163"/>
      <c r="G151" s="163"/>
      <c r="H151" s="163"/>
      <c r="I151" s="163" t="s">
        <v>340</v>
      </c>
      <c r="J151" s="163"/>
      <c r="K151" s="163"/>
      <c r="L151" s="163" t="s">
        <v>73</v>
      </c>
      <c r="M151" s="168">
        <f t="shared" si="52"/>
        <v>0</v>
      </c>
      <c r="N151" s="168">
        <f t="shared" si="50"/>
        <v>0</v>
      </c>
      <c r="O151" s="268" t="s">
        <v>136</v>
      </c>
      <c r="P151" s="268"/>
      <c r="Q151" s="268"/>
      <c r="R151" s="268"/>
      <c r="S151" s="268"/>
      <c r="T151" s="239"/>
      <c r="U151" s="239"/>
      <c r="V151" s="240" t="s">
        <v>71</v>
      </c>
      <c r="W151" s="240"/>
      <c r="X151" s="44"/>
      <c r="Y151" s="76"/>
      <c r="Z151" s="76"/>
      <c r="AA151" s="86"/>
      <c r="AB151" s="86"/>
      <c r="AC151" s="86"/>
      <c r="AD151" s="86"/>
      <c r="AE151" s="86"/>
      <c r="AF151" s="86"/>
      <c r="AG151" s="86"/>
      <c r="AH151" s="86"/>
      <c r="AI151" s="76"/>
      <c r="AJ151" s="9"/>
      <c r="AK151" s="9"/>
      <c r="AL151" s="9"/>
      <c r="AM151" s="9"/>
      <c r="AN151" s="9"/>
      <c r="AO151" s="9"/>
      <c r="AP151" s="9"/>
      <c r="AQ151" s="6"/>
      <c r="AR151" s="8"/>
      <c r="AS151" s="8"/>
      <c r="AT151" s="8"/>
      <c r="AU151" s="8"/>
      <c r="AV151" s="8"/>
      <c r="AW151" s="8"/>
      <c r="AX151" s="8"/>
      <c r="AY151" s="8"/>
      <c r="AZ151" s="8"/>
      <c r="BA151" s="8"/>
      <c r="BB151" s="8"/>
      <c r="BC151" s="8"/>
      <c r="BD151" s="8"/>
      <c r="BE151" s="8"/>
      <c r="BF151" s="8"/>
      <c r="BG151" s="8"/>
      <c r="BH151" s="8"/>
      <c r="BI151" s="8"/>
    </row>
    <row r="152" spans="1:61" s="7" customFormat="1" x14ac:dyDescent="0.2">
      <c r="A152" s="118" t="e">
        <f>C152/12</f>
        <v>#VALUE!</v>
      </c>
      <c r="B152" s="118" t="str">
        <f t="shared" si="51"/>
        <v>monthly</v>
      </c>
      <c r="C152" s="118" t="str">
        <f t="shared" si="36"/>
        <v/>
      </c>
      <c r="D152" s="118" t="s">
        <v>78</v>
      </c>
      <c r="E152" s="118" t="str">
        <f t="shared" si="40"/>
        <v/>
      </c>
      <c r="F152" s="163"/>
      <c r="G152" s="163"/>
      <c r="H152" s="163"/>
      <c r="I152" s="163" t="s">
        <v>195</v>
      </c>
      <c r="J152" s="163"/>
      <c r="K152" s="163"/>
      <c r="L152" s="163" t="s">
        <v>71</v>
      </c>
      <c r="M152" s="168">
        <f t="shared" si="52"/>
        <v>0</v>
      </c>
      <c r="N152" s="168">
        <f t="shared" si="50"/>
        <v>0</v>
      </c>
      <c r="O152" s="236" t="str">
        <f>IF(AF152="Yes", "Tithe / Planned Giving", "Donations / Charitable / Planned Giving")</f>
        <v>Donations / Charitable / Planned Giving</v>
      </c>
      <c r="P152" s="236"/>
      <c r="Q152" s="236"/>
      <c r="R152" s="236"/>
      <c r="S152" s="236"/>
      <c r="T152" s="271"/>
      <c r="U152" s="271"/>
      <c r="V152" s="238" t="s">
        <v>71</v>
      </c>
      <c r="W152" s="238"/>
      <c r="X152" s="47" t="str">
        <f>IF(AND(T172&gt;0,T152=""), "Save monthly for when needed", "")</f>
        <v/>
      </c>
      <c r="Y152" s="76"/>
      <c r="Z152" s="76" t="str">
        <f>IF(T37=0, "", IF(N152=0, "", IF((N152/T37)&gt;0.07, "Do you always give or tithe a certain percentage of your income?", "")))</f>
        <v/>
      </c>
      <c r="AA152" s="86"/>
      <c r="AB152" s="86"/>
      <c r="AC152" s="86"/>
      <c r="AD152" s="86"/>
      <c r="AE152" s="86"/>
      <c r="AF152" s="159" t="s">
        <v>79</v>
      </c>
      <c r="AG152" s="86" t="str">
        <f>IF(Z152="", "", IF(OR(AF152="Yes",AF152="No"), "", "  &lt;&lt; Please select 'Yes' or 'No'"))</f>
        <v/>
      </c>
      <c r="AH152" s="86"/>
      <c r="AI152" s="76"/>
      <c r="AJ152" s="9"/>
      <c r="AK152" s="9"/>
      <c r="AL152" s="9"/>
      <c r="AM152" s="9"/>
      <c r="AN152" s="9"/>
      <c r="AO152" s="9"/>
      <c r="AP152" s="9"/>
      <c r="AQ152" s="6"/>
      <c r="AR152" s="8"/>
      <c r="AS152" s="8"/>
      <c r="AT152" s="8"/>
      <c r="AU152" s="8"/>
      <c r="AV152" s="8"/>
      <c r="AW152" s="8"/>
      <c r="AX152" s="8"/>
      <c r="AY152" s="8"/>
      <c r="AZ152" s="8"/>
      <c r="BA152" s="8"/>
      <c r="BB152" s="8"/>
      <c r="BC152" s="8"/>
      <c r="BD152" s="8"/>
      <c r="BE152" s="8"/>
      <c r="BF152" s="8"/>
      <c r="BG152" s="8"/>
      <c r="BH152" s="8"/>
      <c r="BI152" s="8"/>
    </row>
    <row r="153" spans="1:61" s="7" customFormat="1" x14ac:dyDescent="0.2">
      <c r="A153" s="118"/>
      <c r="B153" s="118" t="str">
        <f t="shared" si="51"/>
        <v>monthly</v>
      </c>
      <c r="C153" s="118" t="str">
        <f t="shared" si="36"/>
        <v/>
      </c>
      <c r="D153" s="118" t="s">
        <v>78</v>
      </c>
      <c r="E153" s="118" t="str">
        <f t="shared" si="40"/>
        <v/>
      </c>
      <c r="F153" s="163"/>
      <c r="G153" s="163"/>
      <c r="H153" s="163"/>
      <c r="I153" s="163" t="s">
        <v>134</v>
      </c>
      <c r="J153" s="163"/>
      <c r="K153" s="163"/>
      <c r="L153" s="163" t="s">
        <v>159</v>
      </c>
      <c r="M153" s="168">
        <f t="shared" si="52"/>
        <v>0</v>
      </c>
      <c r="N153" s="168">
        <f t="shared" si="50"/>
        <v>0</v>
      </c>
      <c r="O153" s="268" t="s">
        <v>388</v>
      </c>
      <c r="P153" s="268"/>
      <c r="Q153" s="268"/>
      <c r="R153" s="268"/>
      <c r="S153" s="268"/>
      <c r="T153" s="239"/>
      <c r="U153" s="239"/>
      <c r="V153" s="240" t="s">
        <v>71</v>
      </c>
      <c r="W153" s="240"/>
      <c r="X153" s="46"/>
      <c r="Y153" s="76"/>
      <c r="Z153" s="76"/>
      <c r="AA153" s="86"/>
      <c r="AB153" s="86"/>
      <c r="AC153" s="86"/>
      <c r="AD153" s="86"/>
      <c r="AE153" s="86"/>
      <c r="AF153" s="86"/>
      <c r="AG153" s="86"/>
      <c r="AH153" s="86"/>
      <c r="AI153" s="76"/>
      <c r="AJ153" s="9"/>
      <c r="AK153" s="9"/>
      <c r="AL153" s="9"/>
      <c r="AM153" s="9"/>
      <c r="AN153" s="9"/>
      <c r="AO153" s="9"/>
      <c r="AP153" s="9"/>
      <c r="AQ153" s="6"/>
      <c r="AR153" s="8"/>
      <c r="AS153" s="8"/>
      <c r="AT153" s="8"/>
      <c r="AU153" s="8"/>
      <c r="AV153" s="8"/>
      <c r="AW153" s="8"/>
      <c r="AX153" s="8"/>
      <c r="AY153" s="8"/>
      <c r="AZ153" s="8"/>
      <c r="BA153" s="8"/>
      <c r="BB153" s="8"/>
      <c r="BC153" s="8"/>
      <c r="BD153" s="8"/>
      <c r="BE153" s="8"/>
      <c r="BF153" s="8"/>
      <c r="BG153" s="8"/>
      <c r="BH153" s="8"/>
      <c r="BI153" s="8"/>
    </row>
    <row r="154" spans="1:61" s="7" customFormat="1" x14ac:dyDescent="0.2">
      <c r="A154" s="118"/>
      <c r="B154" s="118" t="str">
        <f t="shared" si="51"/>
        <v>monthly</v>
      </c>
      <c r="C154" s="118" t="str">
        <f t="shared" si="36"/>
        <v/>
      </c>
      <c r="D154" s="118" t="s">
        <v>78</v>
      </c>
      <c r="E154" s="118" t="str">
        <f t="shared" si="40"/>
        <v/>
      </c>
      <c r="F154" s="163"/>
      <c r="G154" s="163"/>
      <c r="H154" s="163"/>
      <c r="I154" s="163" t="s">
        <v>191</v>
      </c>
      <c r="J154" s="163"/>
      <c r="K154" s="163"/>
      <c r="L154" s="163" t="s">
        <v>160</v>
      </c>
      <c r="M154" s="168">
        <f t="shared" si="52"/>
        <v>0</v>
      </c>
      <c r="N154" s="168">
        <f t="shared" si="50"/>
        <v>0</v>
      </c>
      <c r="O154" s="236"/>
      <c r="P154" s="236"/>
      <c r="Q154" s="236"/>
      <c r="R154" s="236"/>
      <c r="S154" s="236"/>
      <c r="T154" s="271"/>
      <c r="U154" s="271"/>
      <c r="V154" s="238" t="s">
        <v>71</v>
      </c>
      <c r="W154" s="238"/>
      <c r="X154" s="45"/>
      <c r="Y154" s="76"/>
      <c r="Z154" s="76" t="str">
        <f>IF(AF152="Yes", "Please enter the percent of your income that you usually give:", "")</f>
        <v/>
      </c>
      <c r="AA154" s="86"/>
      <c r="AB154" s="86"/>
      <c r="AC154" s="86"/>
      <c r="AD154" s="115"/>
      <c r="AE154" s="86"/>
      <c r="AF154" s="119">
        <v>0.1</v>
      </c>
      <c r="AG154" s="86"/>
      <c r="AH154" s="86"/>
      <c r="AI154" s="76"/>
      <c r="AJ154" s="9"/>
      <c r="AK154" s="9"/>
      <c r="AL154" s="9"/>
      <c r="AM154" s="9"/>
      <c r="AN154" s="9"/>
      <c r="AO154" s="9"/>
      <c r="AP154" s="9"/>
      <c r="AQ154" s="6"/>
      <c r="AR154" s="8"/>
      <c r="AS154" s="8"/>
      <c r="AT154" s="8"/>
      <c r="AU154" s="8"/>
      <c r="AV154" s="8"/>
      <c r="AW154" s="8"/>
      <c r="AX154" s="8"/>
      <c r="AY154" s="8"/>
      <c r="AZ154" s="8"/>
      <c r="BA154" s="8"/>
      <c r="BB154" s="8"/>
      <c r="BC154" s="8"/>
      <c r="BD154" s="8"/>
      <c r="BE154" s="8"/>
      <c r="BF154" s="8"/>
      <c r="BG154" s="8"/>
      <c r="BH154" s="8"/>
      <c r="BI154" s="8"/>
    </row>
    <row r="155" spans="1:61" s="7" customFormat="1" x14ac:dyDescent="0.2">
      <c r="A155" s="118"/>
      <c r="B155" s="118" t="str">
        <f t="shared" si="51"/>
        <v>monthly</v>
      </c>
      <c r="C155" s="118" t="str">
        <f t="shared" si="36"/>
        <v/>
      </c>
      <c r="D155" s="118" t="s">
        <v>78</v>
      </c>
      <c r="E155" s="118" t="str">
        <f t="shared" si="40"/>
        <v/>
      </c>
      <c r="F155" s="163"/>
      <c r="G155" s="163"/>
      <c r="H155" s="163"/>
      <c r="I155" s="163" t="s">
        <v>136</v>
      </c>
      <c r="J155" s="163"/>
      <c r="K155" s="163"/>
      <c r="L155" s="163" t="s">
        <v>328</v>
      </c>
      <c r="M155" s="168">
        <f t="shared" si="52"/>
        <v>0</v>
      </c>
      <c r="N155" s="168">
        <f t="shared" si="50"/>
        <v>0</v>
      </c>
      <c r="O155" s="268"/>
      <c r="P155" s="268"/>
      <c r="Q155" s="268"/>
      <c r="R155" s="268"/>
      <c r="S155" s="268"/>
      <c r="T155" s="239"/>
      <c r="U155" s="239"/>
      <c r="V155" s="240" t="s">
        <v>71</v>
      </c>
      <c r="W155" s="240"/>
      <c r="X155" s="44"/>
      <c r="Y155" s="76"/>
      <c r="Z155" s="76"/>
      <c r="AA155" s="86"/>
      <c r="AB155" s="86"/>
      <c r="AC155" s="86"/>
      <c r="AD155" s="86"/>
      <c r="AE155" s="86"/>
      <c r="AF155" s="86"/>
      <c r="AG155" s="86"/>
      <c r="AH155" s="86"/>
      <c r="AI155" s="76"/>
      <c r="AJ155" s="9"/>
      <c r="AK155" s="9"/>
      <c r="AL155" s="9"/>
      <c r="AM155" s="9"/>
      <c r="AN155" s="9"/>
      <c r="AO155" s="9"/>
      <c r="AP155" s="9"/>
      <c r="AQ155" s="6"/>
      <c r="AR155" s="8"/>
      <c r="AS155" s="8"/>
      <c r="AT155" s="8"/>
      <c r="AU155" s="8"/>
      <c r="AV155" s="8"/>
      <c r="AW155" s="8"/>
      <c r="AX155" s="8"/>
      <c r="AY155" s="8"/>
      <c r="AZ155" s="8"/>
      <c r="BA155" s="8"/>
      <c r="BB155" s="8"/>
      <c r="BC155" s="8"/>
      <c r="BD155" s="8"/>
      <c r="BE155" s="8"/>
      <c r="BF155" s="8"/>
      <c r="BG155" s="8"/>
      <c r="BH155" s="8"/>
      <c r="BI155" s="8"/>
    </row>
    <row r="156" spans="1:61" s="7" customFormat="1" x14ac:dyDescent="0.2">
      <c r="A156" s="118"/>
      <c r="B156" s="118" t="str">
        <f t="shared" si="51"/>
        <v>monthly</v>
      </c>
      <c r="C156" s="118" t="str">
        <f t="shared" si="36"/>
        <v/>
      </c>
      <c r="D156" s="118" t="s">
        <v>78</v>
      </c>
      <c r="E156" s="118" t="str">
        <f t="shared" si="40"/>
        <v/>
      </c>
      <c r="F156" s="163"/>
      <c r="G156" s="163"/>
      <c r="H156" s="163"/>
      <c r="I156" s="118" t="s">
        <v>13</v>
      </c>
      <c r="J156" s="163"/>
      <c r="K156" s="163"/>
      <c r="L156" s="163" t="s">
        <v>161</v>
      </c>
      <c r="M156" s="168">
        <f t="shared" si="52"/>
        <v>0</v>
      </c>
      <c r="N156" s="168">
        <f t="shared" si="50"/>
        <v>0</v>
      </c>
      <c r="O156" s="236"/>
      <c r="P156" s="236"/>
      <c r="Q156" s="236"/>
      <c r="R156" s="236"/>
      <c r="S156" s="236"/>
      <c r="T156" s="271"/>
      <c r="U156" s="271"/>
      <c r="V156" s="238" t="s">
        <v>71</v>
      </c>
      <c r="W156" s="238"/>
      <c r="X156" s="47"/>
      <c r="Y156" s="76"/>
      <c r="Z156" s="76"/>
      <c r="AA156" s="86"/>
      <c r="AB156" s="86"/>
      <c r="AC156" s="86"/>
      <c r="AD156" s="86"/>
      <c r="AE156" s="86"/>
      <c r="AF156" s="86"/>
      <c r="AG156" s="86"/>
      <c r="AH156" s="86"/>
      <c r="AI156" s="76"/>
      <c r="AJ156" s="9"/>
      <c r="AK156" s="9"/>
      <c r="AL156" s="9"/>
      <c r="AM156" s="9"/>
      <c r="AN156" s="9"/>
      <c r="AO156" s="9"/>
      <c r="AP156" s="9"/>
      <c r="AQ156" s="6"/>
      <c r="AR156" s="8"/>
      <c r="AS156" s="8"/>
      <c r="AT156" s="8"/>
      <c r="AU156" s="8"/>
      <c r="AV156" s="8"/>
      <c r="AW156" s="8"/>
      <c r="AX156" s="8"/>
      <c r="AY156" s="8"/>
      <c r="AZ156" s="8"/>
      <c r="BA156" s="8"/>
      <c r="BB156" s="8"/>
      <c r="BC156" s="8"/>
      <c r="BD156" s="8"/>
      <c r="BE156" s="8"/>
      <c r="BF156" s="8"/>
      <c r="BG156" s="8"/>
      <c r="BH156" s="8"/>
      <c r="BI156" s="8"/>
    </row>
    <row r="157" spans="1:61" s="7" customFormat="1" x14ac:dyDescent="0.2">
      <c r="A157" s="118"/>
      <c r="B157" s="118" t="str">
        <f t="shared" si="51"/>
        <v>monthly</v>
      </c>
      <c r="C157" s="118" t="str">
        <f t="shared" si="36"/>
        <v/>
      </c>
      <c r="D157" s="118" t="s">
        <v>78</v>
      </c>
      <c r="E157" s="118" t="str">
        <f t="shared" si="40"/>
        <v/>
      </c>
      <c r="F157" s="163"/>
      <c r="G157" s="163"/>
      <c r="H157" s="163"/>
      <c r="I157" s="163" t="s">
        <v>200</v>
      </c>
      <c r="J157" s="163"/>
      <c r="K157" s="163"/>
      <c r="L157" s="163" t="s">
        <v>329</v>
      </c>
      <c r="M157" s="168">
        <f t="shared" si="52"/>
        <v>0</v>
      </c>
      <c r="N157" s="168">
        <f t="shared" si="50"/>
        <v>0</v>
      </c>
      <c r="O157" s="268"/>
      <c r="P157" s="268"/>
      <c r="Q157" s="268"/>
      <c r="R157" s="268"/>
      <c r="S157" s="268"/>
      <c r="T157" s="239"/>
      <c r="U157" s="239"/>
      <c r="V157" s="240" t="s">
        <v>71</v>
      </c>
      <c r="W157" s="240"/>
      <c r="X157" s="46"/>
      <c r="Y157" s="76"/>
      <c r="Z157" s="248" t="str">
        <f>IF(OR(T12="Off",W209="Yes"), "", IF(OR(COUNTIF(O141:S164, "Eating Out")&gt;0,COUNTIF(O141:S164, "Restaurant")&gt;0,COUNTIF(O141:S164, "Restaurants")&gt;0), "Money Saving Tip", ""))</f>
        <v/>
      </c>
      <c r="AA157" s="248"/>
      <c r="AB157" s="248"/>
      <c r="AC157" s="248"/>
      <c r="AD157" s="248"/>
      <c r="AE157" s="248"/>
      <c r="AF157" s="86"/>
      <c r="AG157" s="86"/>
      <c r="AH157" s="86"/>
      <c r="AI157" s="76"/>
      <c r="AJ157" s="9"/>
      <c r="AK157" s="9"/>
      <c r="AL157" s="9"/>
      <c r="AM157" s="9"/>
      <c r="AN157" s="9"/>
      <c r="AO157" s="9"/>
      <c r="AP157" s="9"/>
      <c r="AQ157" s="6"/>
      <c r="AR157" s="8"/>
      <c r="AS157" s="8"/>
      <c r="AT157" s="8"/>
      <c r="AU157" s="8"/>
      <c r="AV157" s="8"/>
      <c r="AW157" s="8"/>
      <c r="AX157" s="8"/>
      <c r="AY157" s="8"/>
      <c r="AZ157" s="8"/>
      <c r="BA157" s="8"/>
      <c r="BB157" s="8"/>
      <c r="BC157" s="8"/>
      <c r="BD157" s="8"/>
      <c r="BE157" s="8"/>
      <c r="BF157" s="8"/>
      <c r="BG157" s="8"/>
      <c r="BH157" s="8"/>
      <c r="BI157" s="8"/>
    </row>
    <row r="158" spans="1:61" s="7" customFormat="1" x14ac:dyDescent="0.2">
      <c r="A158" s="118"/>
      <c r="B158" s="118" t="str">
        <f t="shared" si="51"/>
        <v>monthly</v>
      </c>
      <c r="C158" s="118" t="str">
        <f t="shared" ref="C158:C202" si="53">IF(T158="", "", IF(B158="weekly", T158*52, IF(B158="bi-weekly", T158*26, IF(B158="semi-monthly", T158*24, IF(B158="monthly", T158*12, IF(B158="every 2 months", T158*6, IF(B158="every 3 months", T158*4, IF(B158="quarterly", T158*4, IF(B158="every 4 months", T158*3, IF(B158="every 6 months", T158*2, IF(B158="every 8 months", T158*1.5, IF(B158="every 10 months", T158*1.2, IF(B158="annually", T158, 0)))))))))))))</f>
        <v/>
      </c>
      <c r="D158" s="118" t="s">
        <v>78</v>
      </c>
      <c r="E158" s="118" t="str">
        <f t="shared" si="40"/>
        <v/>
      </c>
      <c r="F158" s="163"/>
      <c r="G158" s="163"/>
      <c r="H158" s="163"/>
      <c r="I158" s="163" t="s">
        <v>199</v>
      </c>
      <c r="J158" s="163"/>
      <c r="K158" s="163"/>
      <c r="L158" s="163" t="s">
        <v>330</v>
      </c>
      <c r="M158" s="168">
        <f t="shared" si="52"/>
        <v>0</v>
      </c>
      <c r="N158" s="168">
        <f t="shared" si="50"/>
        <v>0</v>
      </c>
      <c r="O158" s="236"/>
      <c r="P158" s="236"/>
      <c r="Q158" s="236"/>
      <c r="R158" s="236"/>
      <c r="S158" s="236"/>
      <c r="T158" s="271"/>
      <c r="U158" s="271"/>
      <c r="V158" s="238" t="s">
        <v>71</v>
      </c>
      <c r="W158" s="238"/>
      <c r="X158" s="47"/>
      <c r="Y158" s="76"/>
      <c r="Z158" s="247" t="str">
        <f>IF(OR(T12="Off",W209="Yes"), "", IF(OR(COUNTIF(O141:S164, "Eating Out")&gt;0,COUNTIF(O141:S164, "Restaurant")&gt;0,COUNTIF(O141:S164, "Restaurants")&gt;0), "Learn to cook. BudgetBytes.com is a great website.", ""))</f>
        <v/>
      </c>
      <c r="AA158" s="247"/>
      <c r="AB158" s="247"/>
      <c r="AC158" s="247"/>
      <c r="AD158" s="247"/>
      <c r="AE158" s="247"/>
      <c r="AF158" s="86"/>
      <c r="AG158" s="139"/>
      <c r="AH158" s="25"/>
      <c r="AI158" s="25"/>
      <c r="AJ158" s="25"/>
      <c r="AK158" s="9"/>
      <c r="AL158" s="9"/>
      <c r="AM158" s="9"/>
      <c r="AN158" s="9"/>
      <c r="AO158" s="9"/>
      <c r="AP158" s="9"/>
      <c r="AQ158" s="6"/>
      <c r="AR158" s="8"/>
      <c r="AS158" s="8"/>
      <c r="AT158" s="8"/>
      <c r="AU158" s="8"/>
      <c r="AV158" s="8"/>
      <c r="AW158" s="8"/>
      <c r="AX158" s="8"/>
      <c r="AY158" s="8"/>
      <c r="AZ158" s="8"/>
      <c r="BA158" s="8"/>
      <c r="BB158" s="8"/>
      <c r="BC158" s="8"/>
      <c r="BD158" s="8"/>
      <c r="BE158" s="8"/>
      <c r="BF158" s="8"/>
      <c r="BG158" s="8"/>
      <c r="BH158" s="8"/>
      <c r="BI158" s="8"/>
    </row>
    <row r="159" spans="1:61" s="7" customFormat="1" x14ac:dyDescent="0.2">
      <c r="A159" s="118"/>
      <c r="B159" s="118" t="str">
        <f t="shared" si="51"/>
        <v>monthly</v>
      </c>
      <c r="C159" s="118" t="str">
        <f t="shared" si="53"/>
        <v/>
      </c>
      <c r="D159" s="118" t="s">
        <v>78</v>
      </c>
      <c r="E159" s="118" t="str">
        <f t="shared" si="40"/>
        <v/>
      </c>
      <c r="F159" s="163"/>
      <c r="G159" s="163"/>
      <c r="H159" s="163"/>
      <c r="I159" s="163" t="s">
        <v>131</v>
      </c>
      <c r="J159" s="163"/>
      <c r="K159" s="163"/>
      <c r="L159" s="163" t="s">
        <v>78</v>
      </c>
      <c r="M159" s="168">
        <f t="shared" si="52"/>
        <v>0</v>
      </c>
      <c r="N159" s="168">
        <f t="shared" si="50"/>
        <v>0</v>
      </c>
      <c r="O159" s="268"/>
      <c r="P159" s="268"/>
      <c r="Q159" s="268"/>
      <c r="R159" s="268"/>
      <c r="S159" s="268"/>
      <c r="T159" s="239"/>
      <c r="U159" s="239"/>
      <c r="V159" s="240" t="s">
        <v>71</v>
      </c>
      <c r="W159" s="240"/>
      <c r="X159" s="46"/>
      <c r="Y159" s="76"/>
      <c r="Z159" s="249" t="str">
        <f>IF(OR(T12="Off",W209="Yes"), "", IF(OR(COUNTIF(O141:S164, "Eating Out")&gt;0,COUNTIF(O141:S164, "Restaurant")&gt;0,COUNTIF(O141:S164, "Restaurants")&gt;0), "Click here to visit BudgetBytes.com", ""))</f>
        <v/>
      </c>
      <c r="AA159" s="249"/>
      <c r="AB159" s="249"/>
      <c r="AC159" s="249"/>
      <c r="AD159" s="249"/>
      <c r="AE159" s="249"/>
      <c r="AF159" s="86"/>
      <c r="AG159" s="86"/>
      <c r="AH159" s="86"/>
      <c r="AI159" s="76"/>
      <c r="AJ159" s="9"/>
      <c r="AK159" s="9"/>
      <c r="AL159" s="9"/>
      <c r="AM159" s="9"/>
      <c r="AN159" s="9"/>
      <c r="AO159" s="9"/>
      <c r="AP159" s="9"/>
      <c r="AQ159" s="6"/>
      <c r="AR159" s="8"/>
      <c r="AS159" s="8"/>
      <c r="AT159" s="8"/>
      <c r="AU159" s="8"/>
      <c r="AV159" s="8"/>
      <c r="AW159" s="8"/>
      <c r="AX159" s="8"/>
      <c r="AY159" s="8"/>
      <c r="AZ159" s="8"/>
      <c r="BA159" s="8"/>
      <c r="BB159" s="8"/>
      <c r="BC159" s="8"/>
      <c r="BD159" s="8"/>
      <c r="BE159" s="8"/>
      <c r="BF159" s="8"/>
      <c r="BG159" s="8"/>
      <c r="BH159" s="8"/>
      <c r="BI159" s="8"/>
    </row>
    <row r="160" spans="1:61" s="7" customFormat="1" x14ac:dyDescent="0.2">
      <c r="A160" s="118"/>
      <c r="B160" s="118" t="str">
        <f t="shared" si="51"/>
        <v>monthly</v>
      </c>
      <c r="C160" s="118" t="str">
        <f t="shared" si="53"/>
        <v/>
      </c>
      <c r="D160" s="118" t="s">
        <v>78</v>
      </c>
      <c r="E160" s="118" t="str">
        <f t="shared" si="40"/>
        <v/>
      </c>
      <c r="F160" s="163"/>
      <c r="G160" s="163"/>
      <c r="H160" s="163"/>
      <c r="I160" s="163" t="s">
        <v>198</v>
      </c>
      <c r="J160" s="163"/>
      <c r="K160" s="163"/>
      <c r="L160" s="118"/>
      <c r="M160" s="168">
        <f t="shared" si="52"/>
        <v>0</v>
      </c>
      <c r="N160" s="168">
        <f t="shared" si="50"/>
        <v>0</v>
      </c>
      <c r="O160" s="236"/>
      <c r="P160" s="236"/>
      <c r="Q160" s="236"/>
      <c r="R160" s="236"/>
      <c r="S160" s="236"/>
      <c r="T160" s="271"/>
      <c r="U160" s="271"/>
      <c r="V160" s="238" t="s">
        <v>71</v>
      </c>
      <c r="W160" s="238"/>
      <c r="X160" s="45"/>
      <c r="Y160" s="76"/>
      <c r="Z160" s="140"/>
      <c r="AA160" s="140"/>
      <c r="AB160" s="140"/>
      <c r="AC160" s="140"/>
      <c r="AD160" s="140"/>
      <c r="AE160" s="140"/>
      <c r="AF160" s="119"/>
      <c r="AG160" s="139"/>
      <c r="AH160" s="86"/>
      <c r="AI160" s="76"/>
      <c r="AJ160" s="9"/>
      <c r="AK160" s="9"/>
      <c r="AL160" s="9"/>
      <c r="AM160" s="9"/>
      <c r="AN160" s="9"/>
      <c r="AO160" s="9"/>
      <c r="AP160" s="9"/>
      <c r="AQ160" s="6"/>
      <c r="AR160" s="8"/>
      <c r="AS160" s="8"/>
      <c r="AT160" s="8"/>
      <c r="AU160" s="8"/>
      <c r="AV160" s="8"/>
      <c r="AW160" s="8"/>
      <c r="AX160" s="8"/>
      <c r="AY160" s="8"/>
      <c r="AZ160" s="8"/>
      <c r="BA160" s="8"/>
      <c r="BB160" s="8"/>
      <c r="BC160" s="8"/>
      <c r="BD160" s="8"/>
      <c r="BE160" s="8"/>
      <c r="BF160" s="8"/>
      <c r="BG160" s="8"/>
      <c r="BH160" s="8"/>
      <c r="BI160" s="8"/>
    </row>
    <row r="161" spans="1:61" s="7" customFormat="1" x14ac:dyDescent="0.2">
      <c r="A161" s="118"/>
      <c r="B161" s="118" t="str">
        <f t="shared" si="51"/>
        <v>monthly</v>
      </c>
      <c r="C161" s="118" t="str">
        <f t="shared" si="53"/>
        <v/>
      </c>
      <c r="D161" s="118" t="s">
        <v>78</v>
      </c>
      <c r="E161" s="118" t="str">
        <f t="shared" si="40"/>
        <v/>
      </c>
      <c r="F161" s="163"/>
      <c r="G161" s="163"/>
      <c r="H161" s="163"/>
      <c r="I161" s="163" t="s">
        <v>197</v>
      </c>
      <c r="J161" s="163"/>
      <c r="K161" s="163"/>
      <c r="L161" s="118"/>
      <c r="M161" s="168">
        <f t="shared" si="52"/>
        <v>0</v>
      </c>
      <c r="N161" s="168">
        <f t="shared" si="50"/>
        <v>0</v>
      </c>
      <c r="O161" s="268"/>
      <c r="P161" s="268"/>
      <c r="Q161" s="268"/>
      <c r="R161" s="268"/>
      <c r="S161" s="268"/>
      <c r="T161" s="239"/>
      <c r="U161" s="239"/>
      <c r="V161" s="240" t="s">
        <v>71</v>
      </c>
      <c r="W161" s="240"/>
      <c r="X161" s="44"/>
      <c r="Y161" s="76"/>
      <c r="Z161" s="76"/>
      <c r="AA161" s="86"/>
      <c r="AB161" s="86"/>
      <c r="AC161" s="86"/>
      <c r="AD161" s="86"/>
      <c r="AE161" s="86"/>
      <c r="AF161" s="86"/>
      <c r="AG161" s="86"/>
      <c r="AH161" s="86"/>
      <c r="AI161" s="76"/>
      <c r="AJ161" s="9"/>
      <c r="AK161" s="9"/>
      <c r="AL161" s="9"/>
      <c r="AM161" s="9"/>
      <c r="AN161" s="9"/>
      <c r="AO161" s="9"/>
      <c r="AP161" s="9"/>
      <c r="AQ161" s="6"/>
      <c r="AR161" s="8"/>
      <c r="AS161" s="8"/>
      <c r="AT161" s="8"/>
      <c r="AU161" s="8"/>
      <c r="AV161" s="8"/>
      <c r="AW161" s="8"/>
      <c r="AX161" s="8"/>
      <c r="AY161" s="8"/>
      <c r="AZ161" s="8"/>
      <c r="BA161" s="8"/>
      <c r="BB161" s="8"/>
      <c r="BC161" s="8"/>
      <c r="BD161" s="8"/>
      <c r="BE161" s="8"/>
      <c r="BF161" s="8"/>
      <c r="BG161" s="8"/>
      <c r="BH161" s="8"/>
      <c r="BI161" s="8"/>
    </row>
    <row r="162" spans="1:61" s="7" customFormat="1" x14ac:dyDescent="0.2">
      <c r="A162" s="118"/>
      <c r="B162" s="118" t="str">
        <f t="shared" si="51"/>
        <v>monthly</v>
      </c>
      <c r="C162" s="118" t="str">
        <f t="shared" si="53"/>
        <v/>
      </c>
      <c r="D162" s="118" t="s">
        <v>78</v>
      </c>
      <c r="E162" s="118" t="str">
        <f t="shared" si="40"/>
        <v/>
      </c>
      <c r="F162" s="163"/>
      <c r="G162" s="163"/>
      <c r="H162" s="163"/>
      <c r="I162" s="163" t="s">
        <v>132</v>
      </c>
      <c r="J162" s="163"/>
      <c r="K162" s="163"/>
      <c r="L162" s="118"/>
      <c r="M162" s="168">
        <f t="shared" si="52"/>
        <v>0</v>
      </c>
      <c r="N162" s="168">
        <f t="shared" si="50"/>
        <v>0</v>
      </c>
      <c r="O162" s="236"/>
      <c r="P162" s="236"/>
      <c r="Q162" s="236"/>
      <c r="R162" s="236"/>
      <c r="S162" s="236"/>
      <c r="T162" s="271"/>
      <c r="U162" s="271"/>
      <c r="V162" s="238" t="s">
        <v>71</v>
      </c>
      <c r="W162" s="238"/>
      <c r="X162" s="45"/>
      <c r="Y162" s="76"/>
      <c r="Z162" s="76"/>
      <c r="AA162" s="86"/>
      <c r="AB162" s="86"/>
      <c r="AD162" s="86"/>
      <c r="AE162" s="86"/>
      <c r="AF162" s="86"/>
      <c r="AG162" s="86"/>
      <c r="AH162" s="86"/>
      <c r="AI162" s="76"/>
      <c r="AJ162" s="9"/>
      <c r="AK162" s="9"/>
      <c r="AL162" s="9"/>
      <c r="AM162" s="9"/>
      <c r="AN162" s="9"/>
      <c r="AO162" s="9"/>
      <c r="AP162" s="9"/>
      <c r="AQ162" s="6"/>
      <c r="AR162" s="8"/>
      <c r="AS162" s="8"/>
      <c r="AT162" s="8"/>
      <c r="AU162" s="8"/>
      <c r="AV162" s="8"/>
      <c r="AW162" s="8"/>
      <c r="AX162" s="8"/>
      <c r="AY162" s="8"/>
      <c r="AZ162" s="8"/>
      <c r="BA162" s="8"/>
      <c r="BB162" s="8"/>
      <c r="BC162" s="8"/>
      <c r="BD162" s="8"/>
      <c r="BE162" s="8"/>
      <c r="BF162" s="8"/>
      <c r="BG162" s="8"/>
      <c r="BH162" s="8"/>
      <c r="BI162" s="8"/>
    </row>
    <row r="163" spans="1:61" s="7" customFormat="1" x14ac:dyDescent="0.2">
      <c r="A163" s="118"/>
      <c r="B163" s="118" t="str">
        <f t="shared" si="51"/>
        <v>monthly</v>
      </c>
      <c r="C163" s="118" t="str">
        <f t="shared" si="53"/>
        <v/>
      </c>
      <c r="D163" s="118" t="s">
        <v>78</v>
      </c>
      <c r="E163" s="118" t="str">
        <f t="shared" si="40"/>
        <v/>
      </c>
      <c r="F163" s="163"/>
      <c r="G163" s="163"/>
      <c r="H163" s="163"/>
      <c r="I163" s="163" t="s">
        <v>133</v>
      </c>
      <c r="J163" s="163"/>
      <c r="K163" s="163"/>
      <c r="L163" s="163"/>
      <c r="M163" s="168">
        <f t="shared" si="52"/>
        <v>0</v>
      </c>
      <c r="N163" s="168">
        <f t="shared" si="50"/>
        <v>0</v>
      </c>
      <c r="O163" s="268"/>
      <c r="P163" s="268"/>
      <c r="Q163" s="268"/>
      <c r="R163" s="268"/>
      <c r="S163" s="268"/>
      <c r="T163" s="239"/>
      <c r="U163" s="239"/>
      <c r="V163" s="240" t="s">
        <v>71</v>
      </c>
      <c r="W163" s="240"/>
      <c r="X163" s="44"/>
      <c r="Y163" s="76"/>
      <c r="Z163" s="76"/>
      <c r="AA163" s="86"/>
      <c r="AB163" s="86"/>
      <c r="AC163" s="86"/>
      <c r="AD163" s="86"/>
      <c r="AE163" s="86"/>
      <c r="AF163" s="86"/>
      <c r="AG163" s="86"/>
      <c r="AH163" s="86"/>
      <c r="AI163" s="76"/>
      <c r="AJ163" s="9"/>
      <c r="AK163" s="9"/>
      <c r="AL163" s="9"/>
      <c r="AM163" s="9"/>
      <c r="AN163" s="9"/>
      <c r="AO163" s="9"/>
      <c r="AP163" s="9"/>
      <c r="AQ163" s="6"/>
      <c r="AR163" s="8"/>
      <c r="AS163" s="8"/>
      <c r="AT163" s="8"/>
      <c r="AU163" s="8"/>
      <c r="AV163" s="8"/>
      <c r="AW163" s="8"/>
      <c r="AX163" s="8"/>
      <c r="AY163" s="8"/>
      <c r="AZ163" s="8"/>
      <c r="BA163" s="8"/>
      <c r="BB163" s="8"/>
      <c r="BC163" s="8"/>
      <c r="BD163" s="8"/>
      <c r="BE163" s="8"/>
      <c r="BF163" s="8"/>
      <c r="BG163" s="8"/>
      <c r="BH163" s="8"/>
      <c r="BI163" s="8"/>
    </row>
    <row r="164" spans="1:61" s="7" customFormat="1" x14ac:dyDescent="0.2">
      <c r="A164" s="118"/>
      <c r="B164" s="118" t="str">
        <f t="shared" si="51"/>
        <v>monthly</v>
      </c>
      <c r="C164" s="118" t="str">
        <f t="shared" si="53"/>
        <v/>
      </c>
      <c r="D164" s="118" t="s">
        <v>78</v>
      </c>
      <c r="E164" s="118" t="str">
        <f t="shared" si="40"/>
        <v/>
      </c>
      <c r="F164" s="163"/>
      <c r="G164" s="163"/>
      <c r="H164" s="163"/>
      <c r="I164" s="163" t="s">
        <v>194</v>
      </c>
      <c r="J164" s="163" t="s">
        <v>137</v>
      </c>
      <c r="K164" s="163"/>
      <c r="L164" s="163">
        <f>SUM(M141:M164)</f>
        <v>0</v>
      </c>
      <c r="M164" s="168">
        <f t="shared" si="52"/>
        <v>0</v>
      </c>
      <c r="N164" s="168">
        <f t="shared" si="50"/>
        <v>0</v>
      </c>
      <c r="O164" s="235"/>
      <c r="P164" s="235"/>
      <c r="Q164" s="235"/>
      <c r="R164" s="235"/>
      <c r="S164" s="235"/>
      <c r="T164" s="245"/>
      <c r="U164" s="245"/>
      <c r="V164" s="238" t="s">
        <v>71</v>
      </c>
      <c r="W164" s="238"/>
      <c r="X164" s="45"/>
      <c r="Y164" s="76"/>
      <c r="Z164" s="76"/>
      <c r="AA164" s="86"/>
      <c r="AB164" s="86"/>
      <c r="AC164" s="86"/>
      <c r="AD164" s="86"/>
      <c r="AE164" s="86"/>
      <c r="AF164" s="86"/>
      <c r="AG164" s="86"/>
      <c r="AH164" s="86"/>
      <c r="AI164" s="76"/>
      <c r="AJ164" s="9"/>
      <c r="AK164" s="9"/>
      <c r="AL164" s="9"/>
      <c r="AM164" s="9"/>
      <c r="AN164" s="9"/>
      <c r="AO164" s="9"/>
      <c r="AP164" s="9"/>
      <c r="AQ164" s="6"/>
      <c r="AR164" s="8"/>
      <c r="AS164" s="8"/>
      <c r="AT164" s="8"/>
      <c r="AU164" s="8"/>
      <c r="AV164" s="8"/>
      <c r="AW164" s="8"/>
      <c r="AX164" s="8"/>
      <c r="AY164" s="8"/>
      <c r="AZ164" s="8"/>
      <c r="BA164" s="8"/>
      <c r="BB164" s="8"/>
      <c r="BC164" s="8"/>
      <c r="BD164" s="8"/>
      <c r="BE164" s="8"/>
      <c r="BF164" s="8"/>
      <c r="BG164" s="8"/>
      <c r="BH164" s="8"/>
      <c r="BI164" s="8"/>
    </row>
    <row r="165" spans="1:61" s="7" customFormat="1" x14ac:dyDescent="0.2">
      <c r="A165" s="118"/>
      <c r="B165" s="118"/>
      <c r="C165" s="118"/>
      <c r="D165" s="118"/>
      <c r="E165" s="118"/>
      <c r="F165" s="163"/>
      <c r="G165" s="163"/>
      <c r="H165" s="163"/>
      <c r="I165" s="163" t="s">
        <v>135</v>
      </c>
      <c r="J165" s="163" t="s">
        <v>138</v>
      </c>
      <c r="K165" s="163"/>
      <c r="L165" s="163"/>
      <c r="M165" s="168"/>
      <c r="N165" s="168"/>
      <c r="O165" s="274" t="s">
        <v>175</v>
      </c>
      <c r="P165" s="274"/>
      <c r="Q165" s="274"/>
      <c r="R165" s="274"/>
      <c r="S165" s="274"/>
      <c r="T165" s="317" t="s">
        <v>80</v>
      </c>
      <c r="U165" s="317"/>
      <c r="V165" s="284" t="s">
        <v>79</v>
      </c>
      <c r="W165" s="284"/>
      <c r="X165" s="134" t="s">
        <v>40</v>
      </c>
      <c r="Y165" s="76"/>
      <c r="Z165" s="76"/>
      <c r="AA165" s="86"/>
      <c r="AB165" s="86"/>
      <c r="AC165" s="86"/>
      <c r="AD165" s="86"/>
      <c r="AE165" s="86"/>
      <c r="AF165" s="86"/>
      <c r="AG165" s="86"/>
      <c r="AH165" s="86"/>
      <c r="AI165" s="76"/>
      <c r="AJ165" s="9"/>
      <c r="AK165" s="9"/>
      <c r="AL165" s="9"/>
      <c r="AM165" s="9"/>
      <c r="AN165" s="9"/>
      <c r="AO165" s="9"/>
      <c r="AP165" s="9"/>
      <c r="AQ165" s="6"/>
      <c r="AR165" s="8"/>
      <c r="AS165" s="8"/>
      <c r="AT165" s="8"/>
      <c r="AU165" s="8"/>
      <c r="AV165" s="8"/>
      <c r="AW165" s="8"/>
      <c r="AX165" s="8"/>
      <c r="AY165" s="8"/>
      <c r="AZ165" s="8"/>
      <c r="BA165" s="8"/>
      <c r="BB165" s="8"/>
      <c r="BC165" s="8"/>
      <c r="BD165" s="8"/>
      <c r="BE165" s="8"/>
      <c r="BF165" s="8"/>
      <c r="BG165" s="8"/>
      <c r="BH165" s="8"/>
      <c r="BI165" s="8"/>
    </row>
    <row r="166" spans="1:61" s="7" customFormat="1" x14ac:dyDescent="0.2">
      <c r="A166" s="118"/>
      <c r="B166" s="118" t="str">
        <f t="shared" ref="B166:B171" si="54">V166</f>
        <v>monthly</v>
      </c>
      <c r="C166" s="118" t="str">
        <f t="shared" si="53"/>
        <v/>
      </c>
      <c r="D166" s="118" t="s">
        <v>78</v>
      </c>
      <c r="E166" s="118" t="str">
        <f t="shared" si="40"/>
        <v/>
      </c>
      <c r="F166" s="163"/>
      <c r="G166" s="163"/>
      <c r="H166" s="163"/>
      <c r="I166" s="163" t="s">
        <v>196</v>
      </c>
      <c r="J166" s="163" t="s">
        <v>193</v>
      </c>
      <c r="K166" s="163"/>
      <c r="L166" s="163"/>
      <c r="M166" s="168">
        <f t="shared" si="52"/>
        <v>0</v>
      </c>
      <c r="N166" s="168">
        <f t="shared" si="50"/>
        <v>0</v>
      </c>
      <c r="O166" s="268" t="s">
        <v>397</v>
      </c>
      <c r="P166" s="268"/>
      <c r="Q166" s="268"/>
      <c r="R166" s="268"/>
      <c r="S166" s="268"/>
      <c r="T166" s="239"/>
      <c r="U166" s="239"/>
      <c r="V166" s="240" t="s">
        <v>71</v>
      </c>
      <c r="W166" s="240"/>
      <c r="X166" s="44"/>
      <c r="Y166" s="76"/>
      <c r="Z166" s="76"/>
      <c r="AA166" s="86"/>
      <c r="AB166" s="86"/>
      <c r="AC166" s="86"/>
      <c r="AD166" s="86"/>
      <c r="AE166" s="86"/>
      <c r="AF166" s="86"/>
      <c r="AG166" s="86"/>
      <c r="AH166" s="86"/>
      <c r="AI166" s="76"/>
      <c r="AJ166" s="9"/>
      <c r="AK166" s="9"/>
      <c r="AL166" s="9"/>
      <c r="AM166" s="9"/>
      <c r="AN166" s="9"/>
      <c r="AO166" s="9"/>
      <c r="AP166" s="9"/>
      <c r="AQ166" s="6"/>
      <c r="AR166" s="8"/>
      <c r="AS166" s="8"/>
      <c r="AT166" s="8"/>
      <c r="AU166" s="8"/>
      <c r="AV166" s="8"/>
      <c r="AW166" s="8"/>
      <c r="AX166" s="8"/>
      <c r="AY166" s="8"/>
      <c r="AZ166" s="8"/>
      <c r="BA166" s="8"/>
      <c r="BB166" s="8"/>
      <c r="BC166" s="8"/>
      <c r="BD166" s="8"/>
      <c r="BE166" s="8"/>
      <c r="BF166" s="8"/>
      <c r="BG166" s="8"/>
      <c r="BH166" s="8"/>
      <c r="BI166" s="8"/>
    </row>
    <row r="167" spans="1:61" s="7" customFormat="1" x14ac:dyDescent="0.2">
      <c r="A167" s="118"/>
      <c r="B167" s="118" t="str">
        <f t="shared" si="54"/>
        <v>monthly</v>
      </c>
      <c r="C167" s="118" t="str">
        <f t="shared" si="53"/>
        <v/>
      </c>
      <c r="D167" s="118" t="s">
        <v>78</v>
      </c>
      <c r="E167" s="118" t="str">
        <f t="shared" si="40"/>
        <v/>
      </c>
      <c r="F167" s="163"/>
      <c r="G167" s="163"/>
      <c r="H167" s="163"/>
      <c r="I167" s="163" t="s">
        <v>164</v>
      </c>
      <c r="J167" s="163" t="s">
        <v>192</v>
      </c>
      <c r="K167" s="163"/>
      <c r="L167" s="163"/>
      <c r="M167" s="168">
        <f t="shared" si="52"/>
        <v>0</v>
      </c>
      <c r="N167" s="168">
        <f t="shared" si="50"/>
        <v>0</v>
      </c>
      <c r="O167" s="286"/>
      <c r="P167" s="286"/>
      <c r="Q167" s="286"/>
      <c r="R167" s="286"/>
      <c r="S167" s="286"/>
      <c r="T167" s="271"/>
      <c r="U167" s="271"/>
      <c r="V167" s="238" t="s">
        <v>71</v>
      </c>
      <c r="W167" s="238"/>
      <c r="X167" s="45"/>
      <c r="Y167" s="76"/>
      <c r="Z167" s="76"/>
      <c r="AA167" s="86"/>
      <c r="AB167" s="86"/>
      <c r="AC167" s="86"/>
      <c r="AD167" s="86"/>
      <c r="AE167" s="86"/>
      <c r="AF167" s="86"/>
      <c r="AG167" s="86"/>
      <c r="AH167" s="86"/>
      <c r="AI167" s="76"/>
      <c r="AJ167" s="9"/>
      <c r="AK167" s="9"/>
      <c r="AL167" s="9"/>
      <c r="AM167" s="9"/>
      <c r="AN167" s="9"/>
      <c r="AO167" s="9"/>
      <c r="AP167" s="9"/>
      <c r="AQ167" s="6"/>
      <c r="AR167" s="8"/>
      <c r="AS167" s="8"/>
      <c r="AT167" s="8"/>
      <c r="AU167" s="8"/>
      <c r="AV167" s="8"/>
      <c r="AW167" s="8"/>
      <c r="AX167" s="8"/>
      <c r="AY167" s="8"/>
      <c r="AZ167" s="8"/>
      <c r="BA167" s="8"/>
      <c r="BB167" s="8"/>
      <c r="BC167" s="8"/>
      <c r="BD167" s="8"/>
      <c r="BE167" s="8"/>
      <c r="BF167" s="8"/>
      <c r="BG167" s="8"/>
      <c r="BH167" s="8"/>
      <c r="BI167" s="8"/>
    </row>
    <row r="168" spans="1:61" s="7" customFormat="1" x14ac:dyDescent="0.2">
      <c r="A168" s="118"/>
      <c r="B168" s="118" t="str">
        <f t="shared" si="54"/>
        <v>monthly</v>
      </c>
      <c r="C168" s="118" t="str">
        <f t="shared" si="53"/>
        <v/>
      </c>
      <c r="D168" s="118" t="s">
        <v>78</v>
      </c>
      <c r="E168" s="118" t="str">
        <f t="shared" si="40"/>
        <v/>
      </c>
      <c r="F168" s="163"/>
      <c r="G168" s="163"/>
      <c r="H168" s="163"/>
      <c r="I168" s="118"/>
      <c r="J168" s="163" t="s">
        <v>8</v>
      </c>
      <c r="K168" s="163"/>
      <c r="L168" s="163"/>
      <c r="M168" s="168">
        <f t="shared" si="52"/>
        <v>0</v>
      </c>
      <c r="N168" s="168">
        <f t="shared" si="50"/>
        <v>0</v>
      </c>
      <c r="O168" s="285"/>
      <c r="P168" s="285"/>
      <c r="Q168" s="285"/>
      <c r="R168" s="285"/>
      <c r="S168" s="285"/>
      <c r="T168" s="239"/>
      <c r="U168" s="239"/>
      <c r="V168" s="240" t="s">
        <v>71</v>
      </c>
      <c r="W168" s="240"/>
      <c r="X168" s="46"/>
      <c r="Y168" s="76"/>
      <c r="Z168" s="76"/>
      <c r="AA168" s="86"/>
      <c r="AB168" s="86"/>
      <c r="AC168" s="86"/>
      <c r="AD168" s="86"/>
      <c r="AE168" s="86"/>
      <c r="AF168" s="86"/>
      <c r="AG168" s="86"/>
      <c r="AH168" s="86"/>
      <c r="AI168" s="76"/>
      <c r="AJ168" s="9"/>
      <c r="AK168" s="9"/>
      <c r="AL168" s="9"/>
      <c r="AM168" s="9"/>
      <c r="AN168" s="9"/>
      <c r="AO168" s="9"/>
      <c r="AP168" s="9"/>
      <c r="AQ168" s="6"/>
      <c r="AR168" s="8"/>
      <c r="AS168" s="8"/>
      <c r="AT168" s="8"/>
      <c r="AU168" s="8"/>
      <c r="AV168" s="8"/>
      <c r="AW168" s="8"/>
      <c r="AX168" s="8"/>
      <c r="AY168" s="8"/>
      <c r="AZ168" s="8"/>
      <c r="BA168" s="8"/>
      <c r="BB168" s="8"/>
      <c r="BC168" s="8"/>
      <c r="BD168" s="8"/>
      <c r="BE168" s="8"/>
      <c r="BF168" s="8"/>
      <c r="BG168" s="8"/>
      <c r="BH168" s="8"/>
      <c r="BI168" s="8"/>
    </row>
    <row r="169" spans="1:61" s="7" customFormat="1" x14ac:dyDescent="0.2">
      <c r="A169" s="118"/>
      <c r="B169" s="118" t="str">
        <f t="shared" si="54"/>
        <v>monthly</v>
      </c>
      <c r="C169" s="118" t="str">
        <f t="shared" si="53"/>
        <v/>
      </c>
      <c r="D169" s="118" t="s">
        <v>78</v>
      </c>
      <c r="E169" s="118" t="str">
        <f t="shared" si="40"/>
        <v/>
      </c>
      <c r="F169" s="163"/>
      <c r="G169" s="163"/>
      <c r="H169" s="163"/>
      <c r="I169" s="118"/>
      <c r="J169" s="163"/>
      <c r="K169" s="163"/>
      <c r="L169" s="163">
        <f>N157+N169</f>
        <v>0</v>
      </c>
      <c r="M169" s="168">
        <f t="shared" si="52"/>
        <v>0</v>
      </c>
      <c r="N169" s="168">
        <f t="shared" si="50"/>
        <v>0</v>
      </c>
      <c r="O169" s="286"/>
      <c r="P169" s="286"/>
      <c r="Q169" s="286"/>
      <c r="R169" s="286"/>
      <c r="S169" s="286"/>
      <c r="T169" s="271"/>
      <c r="U169" s="271"/>
      <c r="V169" s="238" t="s">
        <v>71</v>
      </c>
      <c r="W169" s="238"/>
      <c r="X169" s="47"/>
      <c r="Y169" s="76"/>
      <c r="Z169" s="76"/>
      <c r="AA169" s="86"/>
      <c r="AB169" s="86"/>
      <c r="AC169" s="86"/>
      <c r="AD169" s="86"/>
      <c r="AE169" s="86"/>
      <c r="AF169" s="86"/>
      <c r="AG169" s="86"/>
      <c r="AH169" s="86"/>
      <c r="AI169" s="76"/>
      <c r="AJ169" s="9"/>
      <c r="AK169" s="9"/>
      <c r="AL169" s="9"/>
      <c r="AM169" s="9"/>
      <c r="AN169" s="9"/>
      <c r="AO169" s="9"/>
      <c r="AP169" s="9"/>
      <c r="AQ169" s="6"/>
      <c r="AR169" s="8"/>
      <c r="AS169" s="8"/>
      <c r="AT169" s="8"/>
      <c r="AU169" s="8"/>
      <c r="AV169" s="8"/>
      <c r="AW169" s="8"/>
      <c r="AX169" s="8"/>
      <c r="AY169" s="8"/>
      <c r="AZ169" s="8"/>
      <c r="BA169" s="8"/>
      <c r="BB169" s="8"/>
      <c r="BC169" s="8"/>
      <c r="BD169" s="8"/>
      <c r="BE169" s="8"/>
      <c r="BF169" s="8"/>
      <c r="BG169" s="8"/>
      <c r="BH169" s="8"/>
      <c r="BI169" s="8"/>
    </row>
    <row r="170" spans="1:61" s="7" customFormat="1" x14ac:dyDescent="0.2">
      <c r="A170" s="118"/>
      <c r="B170" s="118" t="str">
        <f t="shared" si="54"/>
        <v>monthly</v>
      </c>
      <c r="C170" s="118" t="str">
        <f t="shared" si="53"/>
        <v/>
      </c>
      <c r="D170" s="118" t="s">
        <v>78</v>
      </c>
      <c r="E170" s="118" t="str">
        <f t="shared" si="40"/>
        <v/>
      </c>
      <c r="F170" s="163"/>
      <c r="G170" s="163"/>
      <c r="H170" s="163"/>
      <c r="I170" s="163"/>
      <c r="J170" s="163"/>
      <c r="K170" s="163"/>
      <c r="L170" s="163"/>
      <c r="M170" s="168">
        <f t="shared" si="52"/>
        <v>0</v>
      </c>
      <c r="N170" s="168">
        <f t="shared" si="50"/>
        <v>0</v>
      </c>
      <c r="O170" s="285"/>
      <c r="P170" s="285"/>
      <c r="Q170" s="285"/>
      <c r="R170" s="285"/>
      <c r="S170" s="285"/>
      <c r="T170" s="239"/>
      <c r="U170" s="239"/>
      <c r="V170" s="240" t="s">
        <v>71</v>
      </c>
      <c r="W170" s="240"/>
      <c r="X170" s="44"/>
      <c r="Y170" s="76"/>
      <c r="Z170" s="76"/>
      <c r="AA170" s="86"/>
      <c r="AB170" s="86"/>
      <c r="AC170" s="86"/>
      <c r="AD170" s="86"/>
      <c r="AE170" s="86"/>
      <c r="AF170" s="86"/>
      <c r="AG170" s="86"/>
      <c r="AH170" s="86"/>
      <c r="AI170" s="76"/>
      <c r="AJ170" s="9"/>
      <c r="AK170" s="9"/>
      <c r="AL170" s="9"/>
      <c r="AM170" s="9"/>
      <c r="AN170" s="9"/>
      <c r="AO170" s="9"/>
      <c r="AP170" s="9"/>
      <c r="AQ170" s="6"/>
      <c r="AR170" s="8"/>
      <c r="AS170" s="8"/>
      <c r="AT170" s="8"/>
      <c r="AU170" s="8"/>
      <c r="AV170" s="8"/>
      <c r="AW170" s="8"/>
      <c r="AX170" s="8"/>
      <c r="AY170" s="8"/>
      <c r="AZ170" s="8"/>
      <c r="BA170" s="8"/>
      <c r="BB170" s="8"/>
      <c r="BC170" s="8"/>
      <c r="BD170" s="8"/>
      <c r="BE170" s="8"/>
      <c r="BF170" s="8"/>
      <c r="BG170" s="8"/>
      <c r="BH170" s="8"/>
      <c r="BI170" s="8"/>
    </row>
    <row r="171" spans="1:61" s="7" customFormat="1" x14ac:dyDescent="0.2">
      <c r="A171" s="118"/>
      <c r="B171" s="118" t="str">
        <f t="shared" si="54"/>
        <v>monthly</v>
      </c>
      <c r="C171" s="118" t="str">
        <f t="shared" si="53"/>
        <v/>
      </c>
      <c r="D171" s="118" t="s">
        <v>78</v>
      </c>
      <c r="E171" s="118" t="str">
        <f t="shared" ref="E171:E202" si="55">C171</f>
        <v/>
      </c>
      <c r="F171" s="163"/>
      <c r="G171" s="163"/>
      <c r="H171" s="163"/>
      <c r="I171" s="163" t="str">
        <f>IF(OR(T4="First Name", T4=""), CONCATENATE(K171,L173), CONCATENATE(PROPER(T4),J171,K171))</f>
        <v>Tax Free Savings Account (TFSA) 1</v>
      </c>
      <c r="J171" s="167" t="s">
        <v>102</v>
      </c>
      <c r="K171" s="163" t="s">
        <v>62</v>
      </c>
      <c r="L171" s="163">
        <f>SUM(M166:M171)</f>
        <v>0</v>
      </c>
      <c r="M171" s="168">
        <f>COUNTIF(T171,"&gt;0")</f>
        <v>0</v>
      </c>
      <c r="N171" s="168">
        <f t="shared" si="50"/>
        <v>0</v>
      </c>
      <c r="O171" s="235"/>
      <c r="P171" s="235"/>
      <c r="Q171" s="235"/>
      <c r="R171" s="235"/>
      <c r="S171" s="235"/>
      <c r="T171" s="271"/>
      <c r="U171" s="271"/>
      <c r="V171" s="238" t="s">
        <v>71</v>
      </c>
      <c r="W171" s="238"/>
      <c r="X171" s="45"/>
      <c r="Y171" s="76"/>
      <c r="Z171" s="76"/>
      <c r="AA171" s="8"/>
      <c r="AB171" s="8"/>
      <c r="AC171" s="8"/>
      <c r="AD171" s="8"/>
      <c r="AE171" s="8"/>
      <c r="AF171" s="8"/>
      <c r="AG171" s="8"/>
      <c r="AH171" s="8"/>
      <c r="AI171" s="76"/>
      <c r="AJ171" s="9"/>
      <c r="AK171" s="9"/>
      <c r="AL171" s="9"/>
      <c r="AM171" s="9"/>
      <c r="AN171" s="9"/>
      <c r="AO171" s="9"/>
      <c r="AP171" s="9"/>
      <c r="AQ171" s="6"/>
      <c r="AR171" s="8"/>
      <c r="AS171" s="8"/>
      <c r="AT171" s="8"/>
      <c r="AU171" s="8"/>
      <c r="AV171" s="8"/>
      <c r="AW171" s="8"/>
      <c r="AX171" s="8"/>
      <c r="AY171" s="8"/>
      <c r="AZ171" s="8"/>
      <c r="BA171" s="8"/>
      <c r="BB171" s="8"/>
      <c r="BC171" s="8"/>
      <c r="BD171" s="8"/>
      <c r="BE171" s="8"/>
      <c r="BF171" s="8"/>
      <c r="BG171" s="8"/>
      <c r="BH171" s="8"/>
      <c r="BI171" s="8"/>
    </row>
    <row r="172" spans="1:61" s="7" customFormat="1" ht="17.25" customHeight="1" x14ac:dyDescent="0.2">
      <c r="A172" s="118"/>
      <c r="B172" s="118"/>
      <c r="C172" s="118"/>
      <c r="D172" s="118"/>
      <c r="E172" s="118"/>
      <c r="F172" s="163"/>
      <c r="G172" s="163"/>
      <c r="H172" s="163"/>
      <c r="I172" s="163" t="str">
        <f>IF(OR(T6="First Name", T6=""), CONCATENATE(K172,L174), CONCATENATE(PROPER(T6),J172,K172))</f>
        <v>Tax Free Savings Account (TFSA) 2</v>
      </c>
      <c r="J172" s="167" t="s">
        <v>102</v>
      </c>
      <c r="K172" s="163" t="s">
        <v>62</v>
      </c>
      <c r="L172" s="163">
        <f>M141+M142+M143+M144+M145+M146+M147+M148+M149+M150+M151+M152+M153+M154+M155+M156+M157+M158+M159+M160+M161+M162+M163+M164+M166+M167+M168+M169+M170+M171</f>
        <v>0</v>
      </c>
      <c r="M172" s="168">
        <f>SUM(M134:M171)</f>
        <v>0</v>
      </c>
      <c r="N172" s="168"/>
      <c r="O172" s="264" t="str">
        <f>IF(T12="On", IF(M172=0, "PERSONAL EXPENSES TOTAL", IF((T172/T37)&gt;V262, "Your PERSONAL EXPENSES TOTAL of", "PERSONAL EXPENSES TOTAL")), "PERSONAL EXPENSES TOTAL")</f>
        <v>PERSONAL EXPENSES TOTAL</v>
      </c>
      <c r="P172" s="264"/>
      <c r="Q172" s="264"/>
      <c r="R172" s="264"/>
      <c r="S172" s="264"/>
      <c r="T172" s="275">
        <f>SUM(N134:N171)</f>
        <v>0</v>
      </c>
      <c r="U172" s="275"/>
      <c r="V172" s="34" t="e">
        <f>IF(T12="On", T172/T37, "")</f>
        <v>#DIV/0!</v>
      </c>
      <c r="W172" s="282" t="str">
        <f>IF(T12="On", IF(M172=0, "", IF((T172/T37)&gt;1, " is greater than your income", IF((T172/T37)&gt;V262, CONCATENATE(" is greater than ",V262*100,"% of your income"),  ""))), "")</f>
        <v/>
      </c>
      <c r="X172" s="282"/>
      <c r="Y172" s="76"/>
      <c r="Z172" s="76"/>
      <c r="AA172" s="316" t="str">
        <f>IF(T12="Off", "", IF(T172=0, "", IF(AND(X262&gt;0.1,V262=0.1), "Important Note", "")))</f>
        <v/>
      </c>
      <c r="AB172" s="316"/>
      <c r="AC172" s="316"/>
      <c r="AD172" s="316"/>
      <c r="AE172" s="316"/>
      <c r="AF172" s="316"/>
      <c r="AG172" s="316"/>
      <c r="AH172" s="316"/>
      <c r="AI172" s="76"/>
      <c r="AJ172" s="9"/>
      <c r="AK172" s="9"/>
      <c r="AL172" s="9"/>
      <c r="AM172" s="9"/>
      <c r="AN172" s="9"/>
      <c r="AO172" s="9"/>
      <c r="AP172" s="9"/>
      <c r="AQ172" s="6"/>
      <c r="AR172" s="8"/>
      <c r="AS172" s="8"/>
      <c r="AT172" s="8"/>
      <c r="AU172" s="8"/>
      <c r="AV172" s="8"/>
      <c r="AW172" s="8"/>
      <c r="AX172" s="8"/>
      <c r="AY172" s="8"/>
      <c r="AZ172" s="8"/>
      <c r="BA172" s="8"/>
      <c r="BB172" s="8"/>
      <c r="BC172" s="8"/>
      <c r="BD172" s="8"/>
      <c r="BE172" s="8"/>
      <c r="BF172" s="8"/>
      <c r="BG172" s="8"/>
      <c r="BH172" s="8"/>
      <c r="BI172" s="8"/>
    </row>
    <row r="173" spans="1:61" s="7" customFormat="1" ht="38.25" customHeight="1" x14ac:dyDescent="0.2">
      <c r="A173" s="118"/>
      <c r="B173" s="118"/>
      <c r="C173" s="118"/>
      <c r="D173" s="118"/>
      <c r="E173" s="118"/>
      <c r="F173" s="163"/>
      <c r="G173" s="163"/>
      <c r="H173" s="163"/>
      <c r="I173" s="163" t="str">
        <f>IF(OR(T4="First Name", T4=""), CONCATENATE(K173,L173), CONCATENATE(PROPER(T4),J173,K173))</f>
        <v>Registered Retirement Savings Plan (RRSP) 1</v>
      </c>
      <c r="J173" s="167" t="s">
        <v>102</v>
      </c>
      <c r="K173" s="163" t="s">
        <v>63</v>
      </c>
      <c r="L173" s="167" t="s">
        <v>105</v>
      </c>
      <c r="M173" s="168"/>
      <c r="N173" s="168"/>
      <c r="O173" s="246" t="str">
        <f>IF(T12="On", IF(M172=0, "", IF((T172/T37)&gt;1,"Check your numbers. It looks like you've entered too much for this category.",IF((T172/T37)&gt;(V262+0.1),CONCATENATE("Your spending here seems to be high. We usually don't recommend spending more than ",V262*100,"% of your income on this category. You're spending ", K131,"%."),IF((T172/T37)&gt;V262,CONCATENATE("Your spending in this category could be a little high. We usually don't suggest spending more than ",V262*100,"% of your income on this category. You've allocated ", K131, "%."),IF((T172/T37)&lt;0.02,CONCATENATE("Your spending in this category is very low. We usually recommend spending at least ",T262*100,"% of your budget here. You've allocated ", K131,"%."),IF((T172/T37)&lt;T262,CONCATENATE("Your spending here is a little low. We usually recommend spending at least ",T262*100,"% of your budget on this category."),"")))))), "")</f>
        <v/>
      </c>
      <c r="P173" s="246"/>
      <c r="Q173" s="246"/>
      <c r="R173" s="246"/>
      <c r="S173" s="246"/>
      <c r="T173" s="246"/>
      <c r="U173" s="246"/>
      <c r="V173" s="246"/>
      <c r="W173" s="246"/>
      <c r="X173" s="246"/>
      <c r="Y173" s="76"/>
      <c r="Z173" s="76"/>
      <c r="AA173" s="288" t="str">
        <f>IF(T12="Off", "", IF(T172=0, "", IF(AND(X262&gt;0.1,V262=0.1), CONCATENATE(J308), "")))</f>
        <v/>
      </c>
      <c r="AB173" s="288"/>
      <c r="AC173" s="288"/>
      <c r="AD173" s="288"/>
      <c r="AE173" s="288"/>
      <c r="AF173" s="288"/>
      <c r="AG173" s="288"/>
      <c r="AH173" s="288"/>
      <c r="AI173" s="76"/>
      <c r="AJ173" s="9"/>
      <c r="AK173" s="9"/>
      <c r="AL173" s="9"/>
      <c r="AM173" s="9"/>
      <c r="AN173" s="9"/>
      <c r="AO173" s="9"/>
      <c r="AP173" s="9"/>
      <c r="AQ173" s="6"/>
      <c r="AR173" s="8"/>
      <c r="AS173" s="8"/>
      <c r="AT173" s="8"/>
      <c r="AU173" s="8"/>
      <c r="AV173" s="8"/>
      <c r="AW173" s="8"/>
      <c r="AX173" s="8"/>
      <c r="AY173" s="8"/>
      <c r="AZ173" s="8"/>
      <c r="BA173" s="8"/>
      <c r="BB173" s="8"/>
      <c r="BC173" s="8"/>
      <c r="BD173" s="8"/>
      <c r="BE173" s="8"/>
      <c r="BF173" s="8"/>
      <c r="BG173" s="8"/>
      <c r="BH173" s="8"/>
      <c r="BI173" s="8"/>
    </row>
    <row r="174" spans="1:61" s="11" customFormat="1" ht="17.25" customHeight="1" x14ac:dyDescent="0.2">
      <c r="A174" s="188"/>
      <c r="B174" s="118"/>
      <c r="C174" s="118"/>
      <c r="D174" s="118"/>
      <c r="E174" s="118"/>
      <c r="F174" s="169"/>
      <c r="G174" s="169"/>
      <c r="H174" s="169"/>
      <c r="I174" s="169" t="str">
        <f>IF(OR(T6="First Name", T6=""), CONCATENATE(K174,L174), CONCATENATE(PROPER(T6),J174,K174))</f>
        <v>Registered Retirement Savings Plan (RRSP) 2</v>
      </c>
      <c r="J174" s="167" t="s">
        <v>102</v>
      </c>
      <c r="K174" s="163" t="s">
        <v>63</v>
      </c>
      <c r="L174" s="167" t="s">
        <v>104</v>
      </c>
      <c r="M174" s="192"/>
      <c r="N174" s="168">
        <f>ROUND(T37*T263,0)</f>
        <v>0</v>
      </c>
      <c r="O174" s="253" t="s">
        <v>181</v>
      </c>
      <c r="P174" s="253"/>
      <c r="Q174" s="253"/>
      <c r="R174" s="253"/>
      <c r="S174" s="253"/>
      <c r="T174" s="253"/>
      <c r="U174" s="253"/>
      <c r="V174" s="253"/>
      <c r="W174" s="253"/>
      <c r="X174" s="253"/>
      <c r="Y174" s="84"/>
      <c r="Z174" s="84"/>
      <c r="AA174" s="288"/>
      <c r="AB174" s="288"/>
      <c r="AC174" s="288"/>
      <c r="AD174" s="288"/>
      <c r="AE174" s="288"/>
      <c r="AF174" s="288"/>
      <c r="AG174" s="288"/>
      <c r="AH174" s="288"/>
      <c r="AI174" s="84"/>
      <c r="AJ174" s="23"/>
      <c r="AK174" s="23"/>
      <c r="AL174" s="23"/>
      <c r="AM174" s="23"/>
      <c r="AN174" s="23"/>
      <c r="AO174" s="23"/>
      <c r="AP174" s="23"/>
      <c r="AQ174" s="10"/>
      <c r="AR174" s="12"/>
      <c r="AS174" s="12"/>
      <c r="AT174" s="12"/>
      <c r="AU174" s="12"/>
      <c r="AV174" s="12"/>
      <c r="AW174" s="12"/>
      <c r="AX174" s="12"/>
      <c r="AY174" s="12"/>
      <c r="AZ174" s="12"/>
      <c r="BA174" s="12"/>
      <c r="BB174" s="12"/>
      <c r="BC174" s="12"/>
      <c r="BD174" s="12"/>
      <c r="BE174" s="12"/>
      <c r="BF174" s="12"/>
      <c r="BG174" s="12"/>
      <c r="BH174" s="12"/>
      <c r="BI174" s="12"/>
    </row>
    <row r="175" spans="1:61" s="11" customFormat="1" ht="35.25" customHeight="1" x14ac:dyDescent="0.2">
      <c r="A175" s="188"/>
      <c r="B175" s="118"/>
      <c r="C175" s="118"/>
      <c r="D175" s="118"/>
      <c r="E175" s="118"/>
      <c r="F175" s="169"/>
      <c r="G175" s="169"/>
      <c r="H175" s="169"/>
      <c r="I175" s="163" t="s">
        <v>64</v>
      </c>
      <c r="J175" s="167" t="s">
        <v>102</v>
      </c>
      <c r="K175" s="169" t="s">
        <v>141</v>
      </c>
      <c r="L175" s="169" t="s">
        <v>82</v>
      </c>
      <c r="M175" s="192" t="str">
        <f>CONCATENATE("It's wise to save ",T263*100,"% to ",V263*100,"% of your income for expenses that don't occur every month, as well as for your future. Then you'll have a little extra available when you need it. Consider allocating $")</f>
        <v>It's wise to save 5% to 10% of your income for expenses that don't occur every month, as well as for your future. Then you'll have a little extra available when you need it. Consider allocating $</v>
      </c>
      <c r="N175" s="168">
        <f>ROUND(T37*V263,0)</f>
        <v>0</v>
      </c>
      <c r="O175" s="260" t="str">
        <f>IF(T12="On", IF(T37=0, CONCATENATE("It's wise to save ",T263*100,"% to ",V263*100,"% of your income for expenses that don't occur every month, as well as for your future. Then you'll have a little extra available when you need it."), IF(T37&gt;0, CONCATENATE(M175,N174,L175,N175,K175), CONCATENATE("It's wise to save ",T263*100,"% to ",V263*100,"% of your income for expenses that don't occur every month, as well as for your future. Then you'll have a little extra available when you need it."))), "")</f>
        <v>It's wise to save 5% to 10% of your income for expenses that don't occur every month, as well as for your future. Then you'll have a little extra available when you need it.</v>
      </c>
      <c r="P175" s="260"/>
      <c r="Q175" s="260"/>
      <c r="R175" s="260"/>
      <c r="S175" s="260"/>
      <c r="T175" s="260"/>
      <c r="U175" s="260"/>
      <c r="V175" s="260"/>
      <c r="W175" s="260"/>
      <c r="X175" s="260"/>
      <c r="Y175" s="84"/>
      <c r="Z175" s="84"/>
      <c r="AA175" s="288" t="str">
        <f>IF(T12="Off", "", IF(T172=0, "", IF(AND(X262&gt;0.1,V262=0.1), CONCATENATE(J309), "")))</f>
        <v/>
      </c>
      <c r="AB175" s="288"/>
      <c r="AC175" s="288"/>
      <c r="AD175" s="288"/>
      <c r="AE175" s="288"/>
      <c r="AF175" s="288"/>
      <c r="AG175" s="288"/>
      <c r="AH175" s="288"/>
      <c r="AI175" s="84"/>
      <c r="AJ175" s="23"/>
      <c r="AK175" s="23"/>
      <c r="AL175" s="23"/>
      <c r="AM175" s="23"/>
      <c r="AN175" s="23"/>
      <c r="AO175" s="23"/>
      <c r="AP175" s="23"/>
      <c r="AQ175" s="10"/>
      <c r="AR175" s="12"/>
      <c r="AS175" s="12"/>
      <c r="AT175" s="12"/>
      <c r="AU175" s="12"/>
      <c r="AV175" s="12"/>
      <c r="AW175" s="12"/>
      <c r="AX175" s="12"/>
      <c r="AY175" s="12"/>
      <c r="AZ175" s="12"/>
      <c r="BA175" s="12"/>
      <c r="BB175" s="12"/>
      <c r="BC175" s="12"/>
      <c r="BD175" s="12"/>
      <c r="BE175" s="12"/>
      <c r="BF175" s="12"/>
      <c r="BG175" s="12"/>
      <c r="BH175" s="12"/>
      <c r="BI175" s="12"/>
    </row>
    <row r="176" spans="1:61" s="11" customFormat="1" ht="28.5" customHeight="1" x14ac:dyDescent="0.2">
      <c r="A176" s="188"/>
      <c r="B176" s="118"/>
      <c r="C176" s="118"/>
      <c r="D176" s="118"/>
      <c r="E176" s="118"/>
      <c r="F176" s="169"/>
      <c r="G176" s="169"/>
      <c r="H176" s="169"/>
      <c r="I176" s="163" t="s">
        <v>61</v>
      </c>
      <c r="J176" s="167"/>
      <c r="K176" s="169"/>
      <c r="L176" s="169"/>
      <c r="M176" s="192"/>
      <c r="N176" s="168"/>
      <c r="O176" s="279" t="s">
        <v>140</v>
      </c>
      <c r="P176" s="279"/>
      <c r="Q176" s="279"/>
      <c r="R176" s="279"/>
      <c r="S176" s="279"/>
      <c r="T176" s="243" t="s">
        <v>80</v>
      </c>
      <c r="U176" s="243"/>
      <c r="V176" s="263" t="s">
        <v>79</v>
      </c>
      <c r="W176" s="263"/>
      <c r="X176" s="133" t="s">
        <v>40</v>
      </c>
      <c r="Y176" s="84"/>
      <c r="Z176" s="84"/>
      <c r="AA176" s="288"/>
      <c r="AB176" s="288"/>
      <c r="AC176" s="288"/>
      <c r="AD176" s="288"/>
      <c r="AE176" s="288"/>
      <c r="AF176" s="288"/>
      <c r="AG176" s="288"/>
      <c r="AH176" s="288"/>
      <c r="AI176" s="84"/>
      <c r="AJ176" s="23"/>
      <c r="AK176" s="23"/>
      <c r="AL176" s="23"/>
      <c r="AM176" s="23"/>
      <c r="AN176" s="23"/>
      <c r="AO176" s="23"/>
      <c r="AP176" s="23"/>
      <c r="AQ176" s="10"/>
      <c r="AR176" s="12"/>
      <c r="AS176" s="12"/>
      <c r="AT176" s="12"/>
      <c r="AU176" s="12"/>
      <c r="AV176" s="12"/>
      <c r="AW176" s="12"/>
      <c r="AX176" s="12"/>
      <c r="AY176" s="12"/>
      <c r="AZ176" s="12"/>
      <c r="BA176" s="12"/>
      <c r="BB176" s="12"/>
      <c r="BC176" s="12"/>
      <c r="BD176" s="12"/>
      <c r="BE176" s="12"/>
      <c r="BF176" s="12"/>
      <c r="BG176" s="12"/>
      <c r="BH176" s="12"/>
      <c r="BI176" s="12"/>
    </row>
    <row r="177" spans="1:61" s="7" customFormat="1" x14ac:dyDescent="0.2">
      <c r="A177" s="118"/>
      <c r="B177" s="118" t="str">
        <f t="shared" ref="B177:B183" si="56">V177</f>
        <v>monthly</v>
      </c>
      <c r="C177" s="118" t="str">
        <f t="shared" si="53"/>
        <v/>
      </c>
      <c r="D177" s="118" t="s">
        <v>78</v>
      </c>
      <c r="E177" s="118" t="str">
        <f t="shared" si="55"/>
        <v/>
      </c>
      <c r="F177" s="163"/>
      <c r="G177" s="163"/>
      <c r="H177" s="163"/>
      <c r="I177" s="163" t="s">
        <v>10</v>
      </c>
      <c r="J177" s="163"/>
      <c r="K177" s="163"/>
      <c r="L177" s="163"/>
      <c r="M177" s="168">
        <f>COUNTIF(T177,"&gt;0")</f>
        <v>0</v>
      </c>
      <c r="N177" s="168">
        <f>IF(V177="weekly",(T177*52)/12,IF(V177="bi-weekly",(T177*26)/12,IF(V177="semi-monthly",(T177*24)/12,IF(V177="monthly",T177,IF(V177="quarterly",T177/3,IF(V177="annually",T177/12,T177))))))</f>
        <v>0</v>
      </c>
      <c r="O177" s="255" t="s">
        <v>61</v>
      </c>
      <c r="P177" s="255"/>
      <c r="Q177" s="255"/>
      <c r="R177" s="255"/>
      <c r="S177" s="255"/>
      <c r="T177" s="244"/>
      <c r="U177" s="244"/>
      <c r="V177" s="240" t="s">
        <v>71</v>
      </c>
      <c r="W177" s="240"/>
      <c r="X177" s="44" t="str">
        <f>IF(AND(T177&gt;0,$M$184&lt;2,T206&gt;99.99), "&lt;&lt; Click for more options", "")</f>
        <v/>
      </c>
      <c r="Y177" s="90"/>
      <c r="Z177" s="90"/>
      <c r="AA177" s="50"/>
      <c r="AB177" s="50"/>
      <c r="AC177" s="50"/>
      <c r="AD177" s="50"/>
      <c r="AE177" s="50"/>
      <c r="AF177" s="50"/>
      <c r="AG177" s="50"/>
      <c r="AH177" s="50"/>
      <c r="AI177" s="56"/>
      <c r="AJ177" s="6"/>
      <c r="AK177" s="6"/>
      <c r="AL177" s="6"/>
      <c r="AM177" s="6"/>
      <c r="AN177" s="6"/>
      <c r="AO177" s="6"/>
      <c r="AP177" s="6"/>
      <c r="AQ177" s="6"/>
      <c r="AR177" s="8"/>
      <c r="AS177" s="8"/>
      <c r="AT177" s="8"/>
      <c r="AU177" s="8"/>
      <c r="AV177" s="8"/>
      <c r="AW177" s="8"/>
      <c r="AX177" s="8"/>
      <c r="AY177" s="8"/>
      <c r="AZ177" s="8"/>
      <c r="BA177" s="8"/>
      <c r="BB177" s="8"/>
      <c r="BC177" s="8"/>
      <c r="BD177" s="8"/>
      <c r="BE177" s="8"/>
      <c r="BF177" s="8"/>
      <c r="BG177" s="8"/>
      <c r="BH177" s="8"/>
      <c r="BI177" s="8"/>
    </row>
    <row r="178" spans="1:61" s="7" customFormat="1" x14ac:dyDescent="0.2">
      <c r="A178" s="118"/>
      <c r="B178" s="118" t="str">
        <f t="shared" si="56"/>
        <v>monthly</v>
      </c>
      <c r="C178" s="118" t="str">
        <f t="shared" si="53"/>
        <v/>
      </c>
      <c r="D178" s="118" t="s">
        <v>78</v>
      </c>
      <c r="E178" s="118" t="str">
        <f t="shared" si="55"/>
        <v/>
      </c>
      <c r="F178" s="163"/>
      <c r="G178" s="163"/>
      <c r="H178" s="163"/>
      <c r="I178" s="163" t="s">
        <v>65</v>
      </c>
      <c r="J178" s="163"/>
      <c r="K178" s="163"/>
      <c r="L178" s="163"/>
      <c r="M178" s="168">
        <f t="shared" ref="M178:M183" si="57">COUNTIF(T178,"&gt;0")</f>
        <v>0</v>
      </c>
      <c r="N178" s="168">
        <f t="shared" ref="N178:N183" si="58">IF(V178="weekly",(T178*52)/12,IF(V178="bi-weekly",(T178*26)/12,IF(V178="semi-monthly",(T178*24)/12,IF(V178="monthly",T178,IF(V178="quarterly",T178/3,IF(V178="annually",T178/12,T178))))))</f>
        <v>0</v>
      </c>
      <c r="O178" s="235" t="s">
        <v>10</v>
      </c>
      <c r="P178" s="235"/>
      <c r="Q178" s="235"/>
      <c r="R178" s="235"/>
      <c r="S178" s="235"/>
      <c r="T178" s="245"/>
      <c r="U178" s="245"/>
      <c r="V178" s="238" t="s">
        <v>71</v>
      </c>
      <c r="W178" s="238"/>
      <c r="X178" s="45" t="str">
        <f>IF(AND(T178&gt;0,$M$184&lt;2,T206&gt;99.99), "&lt;&lt; Click for more options", "")</f>
        <v/>
      </c>
      <c r="Y178" s="90"/>
      <c r="Z178" s="90"/>
      <c r="AA178" s="50"/>
      <c r="AB178" s="50"/>
      <c r="AC178" s="50"/>
      <c r="AD178" s="50"/>
      <c r="AE178" s="50"/>
      <c r="AF178" s="50"/>
      <c r="AG178" s="50"/>
      <c r="AH178" s="50"/>
      <c r="AI178" s="56"/>
      <c r="AJ178" s="6"/>
      <c r="AK178" s="6"/>
      <c r="AL178" s="6"/>
      <c r="AM178" s="6"/>
      <c r="AN178" s="6"/>
      <c r="AO178" s="6"/>
      <c r="AP178" s="6"/>
      <c r="AQ178" s="6"/>
      <c r="AR178" s="8"/>
      <c r="AS178" s="8"/>
      <c r="AT178" s="8"/>
      <c r="AU178" s="8"/>
      <c r="AV178" s="8"/>
      <c r="AW178" s="8"/>
      <c r="AX178" s="8"/>
      <c r="AY178" s="8"/>
      <c r="AZ178" s="8"/>
      <c r="BA178" s="8"/>
      <c r="BB178" s="8"/>
      <c r="BC178" s="8"/>
      <c r="BD178" s="8"/>
      <c r="BE178" s="8"/>
      <c r="BF178" s="8"/>
      <c r="BG178" s="8"/>
      <c r="BH178" s="8"/>
      <c r="BI178" s="8"/>
    </row>
    <row r="179" spans="1:61" s="7" customFormat="1" x14ac:dyDescent="0.2">
      <c r="A179" s="118"/>
      <c r="B179" s="118" t="str">
        <f t="shared" si="56"/>
        <v>monthly</v>
      </c>
      <c r="C179" s="118" t="str">
        <f t="shared" si="53"/>
        <v/>
      </c>
      <c r="D179" s="118" t="s">
        <v>78</v>
      </c>
      <c r="E179" s="118" t="str">
        <f t="shared" si="55"/>
        <v/>
      </c>
      <c r="F179" s="163"/>
      <c r="G179" s="163"/>
      <c r="H179" s="163"/>
      <c r="I179" s="163" t="s">
        <v>66</v>
      </c>
      <c r="J179" s="163"/>
      <c r="K179" s="163"/>
      <c r="L179" s="163"/>
      <c r="M179" s="168">
        <f t="shared" si="57"/>
        <v>0</v>
      </c>
      <c r="N179" s="168">
        <f t="shared" si="58"/>
        <v>0</v>
      </c>
      <c r="O179" s="255" t="s">
        <v>388</v>
      </c>
      <c r="P179" s="255"/>
      <c r="Q179" s="255"/>
      <c r="R179" s="255"/>
      <c r="S179" s="255"/>
      <c r="T179" s="244"/>
      <c r="U179" s="244"/>
      <c r="V179" s="240" t="s">
        <v>71</v>
      </c>
      <c r="W179" s="240"/>
      <c r="X179" s="44" t="str">
        <f>IF(AND(T179&gt;0,$M$184&lt;2,T206&gt;99.99), "&lt;&lt; Click for more options", "")</f>
        <v/>
      </c>
      <c r="Y179" s="90"/>
      <c r="Z179" s="90"/>
      <c r="AA179" s="50"/>
      <c r="AB179" s="50"/>
      <c r="AC179" s="50"/>
      <c r="AD179" s="50"/>
      <c r="AE179" s="50"/>
      <c r="AF179" s="50"/>
      <c r="AG179" s="50"/>
      <c r="AH179" s="50"/>
      <c r="AI179" s="56"/>
      <c r="AJ179" s="6"/>
      <c r="AK179" s="6"/>
      <c r="AL179" s="6"/>
      <c r="AM179" s="6"/>
      <c r="AN179" s="6"/>
      <c r="AO179" s="6"/>
      <c r="AP179" s="6"/>
      <c r="AQ179" s="6"/>
      <c r="AR179" s="8"/>
      <c r="AS179" s="8"/>
      <c r="AT179" s="8"/>
      <c r="AU179" s="8"/>
      <c r="AV179" s="8"/>
      <c r="AW179" s="8"/>
      <c r="AX179" s="8"/>
      <c r="AY179" s="8"/>
      <c r="AZ179" s="8"/>
      <c r="BA179" s="8"/>
      <c r="BB179" s="8"/>
      <c r="BC179" s="8"/>
      <c r="BD179" s="8"/>
      <c r="BE179" s="8"/>
      <c r="BF179" s="8"/>
      <c r="BG179" s="8"/>
      <c r="BH179" s="8"/>
      <c r="BI179" s="8"/>
    </row>
    <row r="180" spans="1:61" s="7" customFormat="1" x14ac:dyDescent="0.2">
      <c r="A180" s="118"/>
      <c r="B180" s="118" t="str">
        <f t="shared" si="56"/>
        <v>monthly</v>
      </c>
      <c r="C180" s="118" t="str">
        <f t="shared" si="53"/>
        <v/>
      </c>
      <c r="D180" s="118" t="s">
        <v>78</v>
      </c>
      <c r="E180" s="118" t="str">
        <f t="shared" si="55"/>
        <v/>
      </c>
      <c r="F180" s="163"/>
      <c r="G180" s="163"/>
      <c r="H180" s="163"/>
      <c r="I180" s="163" t="s">
        <v>67</v>
      </c>
      <c r="J180" s="163"/>
      <c r="K180" s="163"/>
      <c r="L180" s="163"/>
      <c r="M180" s="168">
        <f t="shared" si="57"/>
        <v>0</v>
      </c>
      <c r="N180" s="168">
        <f t="shared" si="58"/>
        <v>0</v>
      </c>
      <c r="O180" s="235"/>
      <c r="P180" s="235"/>
      <c r="Q180" s="235"/>
      <c r="R180" s="235"/>
      <c r="S180" s="235"/>
      <c r="T180" s="245"/>
      <c r="U180" s="245"/>
      <c r="V180" s="238" t="s">
        <v>71</v>
      </c>
      <c r="W180" s="238"/>
      <c r="X180" s="45" t="str">
        <f>IF(AND(T180&gt;0,$M$184&lt;2,T206&gt;99.99), "&lt;&lt; Click for more options", "")</f>
        <v/>
      </c>
      <c r="Y180" s="90"/>
      <c r="Z180" s="90"/>
      <c r="AA180" s="50"/>
      <c r="AB180" s="50"/>
      <c r="AC180" s="50"/>
      <c r="AD180" s="50"/>
      <c r="AE180" s="50"/>
      <c r="AF180" s="50"/>
      <c r="AG180" s="50"/>
      <c r="AH180" s="50"/>
      <c r="AI180" s="56"/>
      <c r="AJ180" s="6"/>
      <c r="AK180" s="6"/>
      <c r="AL180" s="6"/>
      <c r="AM180" s="6"/>
      <c r="AN180" s="6"/>
      <c r="AO180" s="6"/>
      <c r="AP180" s="6"/>
      <c r="AQ180" s="6"/>
      <c r="AR180" s="8"/>
      <c r="AS180" s="8"/>
      <c r="AT180" s="8"/>
      <c r="AU180" s="8"/>
      <c r="AV180" s="8"/>
      <c r="AW180" s="8"/>
      <c r="AX180" s="8"/>
      <c r="AY180" s="8"/>
      <c r="AZ180" s="8"/>
      <c r="BA180" s="8"/>
      <c r="BB180" s="8"/>
      <c r="BC180" s="8"/>
      <c r="BD180" s="8"/>
      <c r="BE180" s="8"/>
      <c r="BF180" s="8"/>
      <c r="BG180" s="8"/>
      <c r="BH180" s="8"/>
      <c r="BI180" s="8"/>
    </row>
    <row r="181" spans="1:61" s="7" customFormat="1" x14ac:dyDescent="0.2">
      <c r="A181" s="118"/>
      <c r="B181" s="118" t="str">
        <f t="shared" si="56"/>
        <v>monthly</v>
      </c>
      <c r="C181" s="118" t="str">
        <f t="shared" si="53"/>
        <v/>
      </c>
      <c r="D181" s="118" t="s">
        <v>78</v>
      </c>
      <c r="E181" s="118" t="str">
        <f t="shared" si="55"/>
        <v/>
      </c>
      <c r="F181" s="163"/>
      <c r="G181" s="163"/>
      <c r="H181" s="163"/>
      <c r="I181" s="163" t="s">
        <v>182</v>
      </c>
      <c r="J181" s="163"/>
      <c r="K181" s="163"/>
      <c r="L181" s="163"/>
      <c r="M181" s="168">
        <f t="shared" si="57"/>
        <v>0</v>
      </c>
      <c r="N181" s="168">
        <f t="shared" si="58"/>
        <v>0</v>
      </c>
      <c r="O181" s="255"/>
      <c r="P181" s="255"/>
      <c r="Q181" s="255"/>
      <c r="R181" s="255"/>
      <c r="S181" s="255"/>
      <c r="T181" s="244"/>
      <c r="U181" s="244"/>
      <c r="V181" s="240" t="s">
        <v>71</v>
      </c>
      <c r="W181" s="240"/>
      <c r="X181" s="44" t="str">
        <f>IF(AND(T181&gt;0,$M$184&lt;2,T206&gt;99.99), "&lt;&lt; Click for more options", "")</f>
        <v/>
      </c>
      <c r="Y181" s="91"/>
      <c r="Z181" s="91"/>
      <c r="AA181" s="50"/>
      <c r="AB181" s="50"/>
      <c r="AC181" s="50"/>
      <c r="AD181" s="50"/>
      <c r="AE181" s="50"/>
      <c r="AF181" s="50"/>
      <c r="AG181" s="50"/>
      <c r="AH181" s="50"/>
      <c r="AI181" s="56"/>
      <c r="AJ181" s="6"/>
      <c r="AK181" s="6"/>
      <c r="AL181" s="6"/>
      <c r="AM181" s="6"/>
      <c r="AN181" s="6"/>
      <c r="AO181" s="6"/>
      <c r="AP181" s="6"/>
      <c r="AQ181" s="6"/>
      <c r="AR181" s="8"/>
      <c r="AS181" s="8"/>
      <c r="AT181" s="8"/>
      <c r="AU181" s="8"/>
      <c r="AV181" s="8"/>
      <c r="AW181" s="8"/>
      <c r="AX181" s="8"/>
      <c r="AY181" s="8"/>
      <c r="AZ181" s="8"/>
      <c r="BA181" s="8"/>
      <c r="BB181" s="8"/>
      <c r="BC181" s="8"/>
      <c r="BD181" s="8"/>
      <c r="BE181" s="8"/>
      <c r="BF181" s="8"/>
      <c r="BG181" s="8"/>
      <c r="BH181" s="8"/>
      <c r="BI181" s="8"/>
    </row>
    <row r="182" spans="1:61" s="7" customFormat="1" x14ac:dyDescent="0.2">
      <c r="A182" s="118"/>
      <c r="B182" s="118" t="str">
        <f t="shared" si="56"/>
        <v>monthly</v>
      </c>
      <c r="C182" s="118" t="str">
        <f t="shared" si="53"/>
        <v/>
      </c>
      <c r="D182" s="118" t="s">
        <v>78</v>
      </c>
      <c r="E182" s="118" t="str">
        <f t="shared" si="55"/>
        <v/>
      </c>
      <c r="F182" s="163"/>
      <c r="G182" s="163"/>
      <c r="H182" s="163"/>
      <c r="I182" s="163" t="s">
        <v>54</v>
      </c>
      <c r="J182" s="163"/>
      <c r="K182" s="163"/>
      <c r="L182" s="163"/>
      <c r="M182" s="168">
        <f t="shared" si="57"/>
        <v>0</v>
      </c>
      <c r="N182" s="168">
        <f t="shared" si="58"/>
        <v>0</v>
      </c>
      <c r="O182" s="235"/>
      <c r="P182" s="235"/>
      <c r="Q182" s="235"/>
      <c r="R182" s="235"/>
      <c r="S182" s="235"/>
      <c r="T182" s="245"/>
      <c r="U182" s="245"/>
      <c r="V182" s="238" t="s">
        <v>71</v>
      </c>
      <c r="W182" s="238"/>
      <c r="X182" s="45"/>
      <c r="Y182" s="91"/>
      <c r="Z182" s="91"/>
      <c r="AA182" s="50"/>
      <c r="AB182" s="50"/>
      <c r="AC182" s="50"/>
      <c r="AD182" s="50"/>
      <c r="AE182" s="50"/>
      <c r="AF182" s="50"/>
      <c r="AG182" s="50"/>
      <c r="AH182" s="50"/>
      <c r="AI182" s="56"/>
      <c r="AJ182" s="6"/>
      <c r="AK182" s="6"/>
      <c r="AL182" s="6"/>
      <c r="AM182" s="6"/>
      <c r="AN182" s="6"/>
      <c r="AO182" s="6"/>
      <c r="AP182" s="6"/>
      <c r="AQ182" s="6"/>
      <c r="AR182" s="8"/>
      <c r="AS182" s="8"/>
      <c r="AT182" s="8"/>
      <c r="AU182" s="8"/>
      <c r="AV182" s="8"/>
      <c r="AW182" s="8"/>
      <c r="AX182" s="8"/>
      <c r="AY182" s="8"/>
      <c r="AZ182" s="8"/>
      <c r="BA182" s="8"/>
      <c r="BB182" s="8"/>
      <c r="BC182" s="8"/>
      <c r="BD182" s="8"/>
      <c r="BE182" s="8"/>
      <c r="BF182" s="8"/>
      <c r="BG182" s="8"/>
      <c r="BH182" s="8"/>
      <c r="BI182" s="8"/>
    </row>
    <row r="183" spans="1:61" s="7" customFormat="1" x14ac:dyDescent="0.2">
      <c r="A183" s="118"/>
      <c r="B183" s="118" t="str">
        <f t="shared" si="56"/>
        <v>monthly</v>
      </c>
      <c r="C183" s="118" t="str">
        <f t="shared" si="53"/>
        <v/>
      </c>
      <c r="D183" s="118" t="s">
        <v>78</v>
      </c>
      <c r="E183" s="118" t="str">
        <f t="shared" si="55"/>
        <v/>
      </c>
      <c r="F183" s="163"/>
      <c r="G183" s="163"/>
      <c r="H183" s="163"/>
      <c r="I183" s="163"/>
      <c r="J183" s="163"/>
      <c r="K183" s="163"/>
      <c r="L183" s="163"/>
      <c r="M183" s="168">
        <f t="shared" si="57"/>
        <v>0</v>
      </c>
      <c r="N183" s="168">
        <f t="shared" si="58"/>
        <v>0</v>
      </c>
      <c r="O183" s="255"/>
      <c r="P183" s="255"/>
      <c r="Q183" s="255"/>
      <c r="R183" s="255"/>
      <c r="S183" s="255"/>
      <c r="T183" s="244"/>
      <c r="U183" s="244"/>
      <c r="V183" s="240" t="s">
        <v>71</v>
      </c>
      <c r="W183" s="240"/>
      <c r="X183" s="44"/>
      <c r="Y183" s="91"/>
      <c r="Z183" s="91"/>
      <c r="AA183" s="50"/>
      <c r="AB183" s="50"/>
      <c r="AC183" s="50"/>
      <c r="AD183" s="50"/>
      <c r="AE183" s="50"/>
      <c r="AF183" s="50"/>
      <c r="AG183" s="50"/>
      <c r="AH183" s="50"/>
      <c r="AI183" s="56"/>
      <c r="AJ183" s="6"/>
      <c r="AK183" s="6"/>
      <c r="AL183" s="6"/>
      <c r="AM183" s="6"/>
      <c r="AN183" s="6"/>
      <c r="AO183" s="6"/>
      <c r="AP183" s="6"/>
      <c r="AQ183" s="6"/>
      <c r="AR183" s="8"/>
      <c r="AS183" s="8"/>
      <c r="AT183" s="8"/>
      <c r="AU183" s="8"/>
      <c r="AV183" s="8"/>
      <c r="AW183" s="8"/>
      <c r="AX183" s="8"/>
      <c r="AY183" s="8"/>
      <c r="AZ183" s="8"/>
      <c r="BA183" s="8"/>
      <c r="BB183" s="8"/>
      <c r="BC183" s="8"/>
      <c r="BD183" s="8"/>
      <c r="BE183" s="8"/>
      <c r="BF183" s="8"/>
      <c r="BG183" s="8"/>
      <c r="BH183" s="8"/>
      <c r="BI183" s="8"/>
    </row>
    <row r="184" spans="1:61" s="7" customFormat="1" ht="17.25" customHeight="1" x14ac:dyDescent="0.2">
      <c r="A184" s="118"/>
      <c r="B184" s="118"/>
      <c r="C184" s="118"/>
      <c r="D184" s="118"/>
      <c r="E184" s="118"/>
      <c r="F184" s="163"/>
      <c r="G184" s="163"/>
      <c r="H184" s="163"/>
      <c r="I184" s="163"/>
      <c r="J184" s="163"/>
      <c r="K184" s="163"/>
      <c r="L184" s="163"/>
      <c r="M184" s="168">
        <f>SUM(M177:M183)</f>
        <v>0</v>
      </c>
      <c r="N184" s="168"/>
      <c r="O184" s="264" t="str">
        <f>IF(T12="On", IF(M184=0, "SAVINGS TOTAL", IF((T184/T37)&gt;V263, "Way to Go! Your SAVINGS TOTAL of", "SAVINGS TOTAL")), "SAVINGS TOTAL")</f>
        <v>SAVINGS TOTAL</v>
      </c>
      <c r="P184" s="264"/>
      <c r="Q184" s="264"/>
      <c r="R184" s="264"/>
      <c r="S184" s="264"/>
      <c r="T184" s="275">
        <f>SUM(N177:N183)</f>
        <v>0</v>
      </c>
      <c r="U184" s="275"/>
      <c r="V184" s="32" t="e">
        <f>IF(T12="On", IF(N263="Changed", "", T184/T37))</f>
        <v>#DIV/0!</v>
      </c>
      <c r="W184" s="282" t="str">
        <f>IF(T12="On", IF(M184=0, "", IF((T184/T37)&gt;1, " is greater than your income", IF((T184/T37)&gt;(V263+0.1), CONCATENATE(" is greater than ",(V263*100)+10,"% of your income"), IF((T184/T37)&gt;V263, CONCATENATE(" is greater than ",V263*100,"% of your income"),  "")))), "")</f>
        <v/>
      </c>
      <c r="X184" s="282"/>
      <c r="Y184" s="91"/>
      <c r="Z184" s="91"/>
      <c r="AA184" s="50"/>
      <c r="AB184" s="50"/>
      <c r="AC184" s="50"/>
      <c r="AD184" s="50"/>
      <c r="AE184" s="50"/>
      <c r="AF184" s="50"/>
      <c r="AG184" s="50"/>
      <c r="AH184" s="50"/>
      <c r="AI184" s="56"/>
      <c r="AJ184" s="6"/>
      <c r="AK184" s="6"/>
      <c r="AL184" s="6"/>
      <c r="AM184" s="6"/>
      <c r="AN184" s="6"/>
      <c r="AO184" s="6"/>
      <c r="AP184" s="6"/>
      <c r="AQ184" s="6"/>
      <c r="AR184" s="8"/>
      <c r="AS184" s="8"/>
      <c r="AT184" s="8"/>
      <c r="AU184" s="8"/>
      <c r="AV184" s="8"/>
      <c r="AW184" s="8"/>
      <c r="AX184" s="8"/>
      <c r="AY184" s="8"/>
      <c r="AZ184" s="8"/>
      <c r="BA184" s="8"/>
      <c r="BB184" s="8"/>
      <c r="BC184" s="8"/>
      <c r="BD184" s="8"/>
      <c r="BE184" s="8"/>
      <c r="BF184" s="8"/>
      <c r="BG184" s="8"/>
      <c r="BH184" s="8"/>
      <c r="BI184" s="8"/>
    </row>
    <row r="185" spans="1:61" s="7" customFormat="1" ht="35.25" customHeight="1" x14ac:dyDescent="0.2">
      <c r="A185" s="118"/>
      <c r="B185" s="118"/>
      <c r="C185" s="118"/>
      <c r="D185" s="118"/>
      <c r="E185" s="118"/>
      <c r="F185" s="163"/>
      <c r="G185" s="163"/>
      <c r="H185" s="163"/>
      <c r="I185" s="163"/>
      <c r="J185" s="163"/>
      <c r="K185" s="163"/>
      <c r="L185" s="163"/>
      <c r="M185" s="168"/>
      <c r="N185" s="168"/>
      <c r="O185" s="246" t="str">
        <f>IF(T12="On", IF(M184=0, "", IF((T184/T37)&gt;1,"Wow, you're saving more than you earn! That's not possible. Check your numbers.",IF((T184/T37)&gt;0.2,"Wow! You're saving more than 20% of your income. Good for you!",IF((T184/T37)&gt;0.1,"You're saving more than 10% of your income. Good for you!",IF((T184/T37)&lt;0.01,"Your monthly savings are very low. You should think about putting more aside each month. Unexpected expenses will come. If you don't have enough money saved, these expenses will put you into debt.",IF((T184/T37)&lt;0.05,"The amount you're saving each month is little low. See if you can find a way to save some more. More savings will help keep you out of debt and will make unexpected expenses easier to handle.","")))))), "")</f>
        <v/>
      </c>
      <c r="P185" s="246"/>
      <c r="Q185" s="246"/>
      <c r="R185" s="246"/>
      <c r="S185" s="246"/>
      <c r="T185" s="246"/>
      <c r="U185" s="246"/>
      <c r="V185" s="246"/>
      <c r="W185" s="246"/>
      <c r="X185" s="246"/>
      <c r="Y185" s="91"/>
      <c r="Z185" s="91"/>
      <c r="AA185" s="50"/>
      <c r="AB185" s="50"/>
      <c r="AC185" s="50"/>
      <c r="AD185" s="50"/>
      <c r="AE185" s="50"/>
      <c r="AF185" s="50"/>
      <c r="AG185" s="50"/>
      <c r="AH185" s="50"/>
      <c r="AI185" s="56"/>
      <c r="AJ185" s="6"/>
      <c r="AK185" s="6"/>
      <c r="AL185" s="6"/>
      <c r="AM185" s="6"/>
      <c r="AN185" s="6"/>
      <c r="AO185" s="6"/>
      <c r="AP185" s="6"/>
      <c r="AQ185" s="6"/>
      <c r="AR185" s="8"/>
      <c r="AS185" s="8"/>
      <c r="AT185" s="8"/>
      <c r="AU185" s="8"/>
      <c r="AV185" s="8"/>
      <c r="AW185" s="8"/>
      <c r="AX185" s="8"/>
      <c r="AY185" s="8"/>
      <c r="AZ185" s="8"/>
      <c r="BA185" s="8"/>
      <c r="BB185" s="8"/>
      <c r="BC185" s="8"/>
      <c r="BD185" s="8"/>
      <c r="BE185" s="8"/>
      <c r="BF185" s="8"/>
      <c r="BG185" s="8"/>
      <c r="BH185" s="8"/>
      <c r="BI185" s="8"/>
    </row>
    <row r="186" spans="1:61" s="11" customFormat="1" ht="17.25" customHeight="1" x14ac:dyDescent="0.2">
      <c r="A186" s="188"/>
      <c r="B186" s="118"/>
      <c r="C186" s="118"/>
      <c r="D186" s="118"/>
      <c r="E186" s="118"/>
      <c r="F186" s="169"/>
      <c r="G186" s="169"/>
      <c r="H186" s="169"/>
      <c r="I186" s="163" t="s">
        <v>44</v>
      </c>
      <c r="J186" s="169"/>
      <c r="K186" s="169" t="s">
        <v>81</v>
      </c>
      <c r="L186" s="169" t="s">
        <v>82</v>
      </c>
      <c r="M186" s="192" t="s">
        <v>142</v>
      </c>
      <c r="N186" s="168">
        <f>ROUND(T37*0.05,0)</f>
        <v>0</v>
      </c>
      <c r="O186" s="253" t="s">
        <v>23</v>
      </c>
      <c r="P186" s="253"/>
      <c r="Q186" s="253"/>
      <c r="R186" s="253"/>
      <c r="S186" s="253"/>
      <c r="T186" s="253"/>
      <c r="U186" s="253"/>
      <c r="V186" s="253"/>
      <c r="W186" s="253"/>
      <c r="X186" s="253"/>
      <c r="Y186" s="92"/>
      <c r="Z186" s="92"/>
      <c r="AA186" s="55"/>
      <c r="AB186" s="55"/>
      <c r="AC186" s="55"/>
      <c r="AD186" s="55"/>
      <c r="AE186" s="55"/>
      <c r="AF186" s="55"/>
      <c r="AG186" s="55"/>
      <c r="AH186" s="55"/>
      <c r="AI186" s="59"/>
      <c r="AJ186" s="10"/>
      <c r="AK186" s="10"/>
      <c r="AL186" s="10"/>
      <c r="AM186" s="10"/>
      <c r="AN186" s="10"/>
      <c r="AO186" s="10"/>
      <c r="AP186" s="10"/>
      <c r="AQ186" s="10"/>
      <c r="AR186" s="12"/>
      <c r="AS186" s="12"/>
      <c r="AT186" s="12"/>
      <c r="AU186" s="12"/>
      <c r="AV186" s="12"/>
      <c r="AW186" s="12"/>
      <c r="AX186" s="12"/>
      <c r="AY186" s="12"/>
      <c r="AZ186" s="12"/>
      <c r="BA186" s="12"/>
      <c r="BB186" s="12"/>
      <c r="BC186" s="12"/>
      <c r="BD186" s="12"/>
      <c r="BE186" s="12"/>
      <c r="BF186" s="12"/>
      <c r="BG186" s="12"/>
      <c r="BH186" s="12"/>
      <c r="BI186" s="12"/>
    </row>
    <row r="187" spans="1:61" s="11" customFormat="1" ht="39" customHeight="1" x14ac:dyDescent="0.2">
      <c r="A187" s="188"/>
      <c r="B187" s="118"/>
      <c r="C187" s="118"/>
      <c r="D187" s="118"/>
      <c r="E187" s="118"/>
      <c r="F187" s="169"/>
      <c r="G187" s="169"/>
      <c r="H187" s="169"/>
      <c r="I187" s="163" t="s">
        <v>45</v>
      </c>
      <c r="J187" s="169"/>
      <c r="K187" s="169"/>
      <c r="L187" s="169"/>
      <c r="M187" s="195">
        <f>IF(T37=0, 0, ROUND((T203/T37)*100,0))</f>
        <v>0</v>
      </c>
      <c r="N187" s="168">
        <f>ROUND(T37*0.15,0)</f>
        <v>0</v>
      </c>
      <c r="O187" s="260" t="str">
        <f>IF(T12="On", IF(T37=0, "A manageable level of debt payments can take up 5% to 15% of your budget.", IF(T37&gt;0, CONCATENATE(M186,N186,L186,N187,K186), "A manageable level of debt payments can take up 5% to 15% of your budget.")), "")</f>
        <v>A manageable level of debt payments can take up 5% to 15% of your budget.</v>
      </c>
      <c r="P187" s="260"/>
      <c r="Q187" s="260"/>
      <c r="R187" s="260"/>
      <c r="S187" s="260"/>
      <c r="T187" s="243" t="s">
        <v>80</v>
      </c>
      <c r="U187" s="243"/>
      <c r="V187" s="234" t="s">
        <v>79</v>
      </c>
      <c r="W187" s="234"/>
      <c r="X187" s="133" t="s">
        <v>40</v>
      </c>
      <c r="Y187" s="92"/>
      <c r="Z187" s="92"/>
      <c r="AA187" s="55"/>
      <c r="AB187" s="55"/>
      <c r="AC187" s="55"/>
      <c r="AD187" s="55"/>
      <c r="AE187" s="55"/>
      <c r="AF187" s="55"/>
      <c r="AG187" s="55"/>
      <c r="AH187" s="55"/>
      <c r="AI187" s="59"/>
      <c r="AJ187" s="10"/>
      <c r="AK187" s="10"/>
      <c r="AL187" s="10"/>
      <c r="AM187" s="10"/>
      <c r="AN187" s="10"/>
      <c r="AO187" s="10"/>
      <c r="AP187" s="10"/>
      <c r="AQ187" s="10"/>
      <c r="AR187" s="12"/>
      <c r="AS187" s="12"/>
      <c r="AT187" s="12"/>
      <c r="AU187" s="12"/>
      <c r="AV187" s="12"/>
      <c r="AW187" s="12"/>
      <c r="AX187" s="12"/>
      <c r="AY187" s="12"/>
      <c r="AZ187" s="12"/>
      <c r="BA187" s="12"/>
      <c r="BB187" s="12"/>
      <c r="BC187" s="12"/>
      <c r="BD187" s="12"/>
      <c r="BE187" s="12"/>
      <c r="BF187" s="12"/>
      <c r="BG187" s="12"/>
      <c r="BH187" s="12"/>
      <c r="BI187" s="12"/>
    </row>
    <row r="188" spans="1:61" s="7" customFormat="1" x14ac:dyDescent="0.2">
      <c r="A188" s="118"/>
      <c r="B188" s="118" t="str">
        <f t="shared" ref="B188:B202" si="59">V188</f>
        <v>monthly</v>
      </c>
      <c r="C188" s="118" t="str">
        <f t="shared" si="53"/>
        <v/>
      </c>
      <c r="D188" s="118" t="s">
        <v>78</v>
      </c>
      <c r="E188" s="118" t="str">
        <f t="shared" si="55"/>
        <v/>
      </c>
      <c r="F188" s="163"/>
      <c r="G188" s="163"/>
      <c r="H188" s="163"/>
      <c r="I188" s="163" t="s">
        <v>56</v>
      </c>
      <c r="J188" s="163"/>
      <c r="K188" s="163"/>
      <c r="L188" s="163"/>
      <c r="M188" s="168">
        <f t="shared" ref="M188:M202" si="60">COUNTIF(T188,"&gt;0")</f>
        <v>0</v>
      </c>
      <c r="N188" s="168">
        <f>IF(V188="weekly",(T188*52)/12,IF(V188="bi-weekly",(T188*26)/12,IF(V188="semi-monthly",(T188*24)/12,IF(V188="monthly",T188,IF(V188="quarterly",T188/3,IF(V188="annually",T188/12,T188))))))</f>
        <v>0</v>
      </c>
      <c r="O188" s="268" t="s">
        <v>44</v>
      </c>
      <c r="P188" s="268"/>
      <c r="Q188" s="268"/>
      <c r="R188" s="268"/>
      <c r="S188" s="268"/>
      <c r="T188" s="239"/>
      <c r="U188" s="239"/>
      <c r="V188" s="240" t="s">
        <v>71</v>
      </c>
      <c r="W188" s="240"/>
      <c r="X188" s="41" t="str">
        <f>IF(AND(T188&gt;0,$M$203&lt;3,OR(W209="No",W209="Select")), "&lt;&lt; Click for more options", "")</f>
        <v/>
      </c>
      <c r="Y188" s="90"/>
      <c r="Z188" s="90"/>
      <c r="AA188" s="50"/>
      <c r="AB188" s="50"/>
      <c r="AC188" s="50"/>
      <c r="AD188" s="50"/>
      <c r="AE188" s="50"/>
      <c r="AF188" s="50"/>
      <c r="AG188" s="50"/>
      <c r="AH188" s="50"/>
      <c r="AI188" s="56"/>
      <c r="AJ188" s="6"/>
      <c r="AK188" s="6"/>
      <c r="AL188" s="6"/>
      <c r="AM188" s="6"/>
      <c r="AN188" s="6"/>
      <c r="AO188" s="6"/>
      <c r="AP188" s="6"/>
      <c r="AQ188" s="6"/>
      <c r="AR188" s="8"/>
      <c r="AS188" s="8"/>
      <c r="AT188" s="8"/>
      <c r="AU188" s="8"/>
      <c r="AV188" s="8"/>
      <c r="AW188" s="8"/>
      <c r="AX188" s="8"/>
      <c r="AY188" s="8"/>
      <c r="AZ188" s="8"/>
      <c r="BA188" s="8"/>
      <c r="BB188" s="8"/>
      <c r="BC188" s="8"/>
      <c r="BD188" s="8"/>
      <c r="BE188" s="8"/>
      <c r="BF188" s="8"/>
      <c r="BG188" s="8"/>
      <c r="BH188" s="8"/>
      <c r="BI188" s="8"/>
    </row>
    <row r="189" spans="1:61" s="7" customFormat="1" x14ac:dyDescent="0.2">
      <c r="A189" s="118"/>
      <c r="B189" s="118" t="str">
        <f t="shared" si="59"/>
        <v>monthly</v>
      </c>
      <c r="C189" s="118" t="str">
        <f t="shared" si="53"/>
        <v/>
      </c>
      <c r="D189" s="118" t="s">
        <v>78</v>
      </c>
      <c r="E189" s="118" t="str">
        <f t="shared" si="55"/>
        <v/>
      </c>
      <c r="F189" s="163"/>
      <c r="G189" s="163"/>
      <c r="H189" s="163"/>
      <c r="I189" s="163" t="s">
        <v>53</v>
      </c>
      <c r="J189" s="163"/>
      <c r="K189" s="163"/>
      <c r="L189" s="163"/>
      <c r="M189" s="168">
        <f t="shared" si="60"/>
        <v>0</v>
      </c>
      <c r="N189" s="168">
        <f t="shared" ref="N189:N202" si="61">IF(V189="weekly",(T189*52)/12,IF(V189="bi-weekly",(T189*26)/12,IF(V189="semi-monthly",(T189*24)/12,IF(V189="monthly",T189,IF(V189="quarterly",T189/3,IF(V189="annually",T189/12,T189))))))</f>
        <v>0</v>
      </c>
      <c r="O189" s="236" t="s">
        <v>45</v>
      </c>
      <c r="P189" s="236"/>
      <c r="Q189" s="236"/>
      <c r="R189" s="236"/>
      <c r="S189" s="236"/>
      <c r="T189" s="271"/>
      <c r="U189" s="271"/>
      <c r="V189" s="238" t="s">
        <v>71</v>
      </c>
      <c r="W189" s="238"/>
      <c r="X189" s="42" t="str">
        <f>IF(AND(T189&gt;0,$M$203&lt;3,OR(W209="No",W209="Select")), "&lt;&lt; Click for more options", "")</f>
        <v/>
      </c>
      <c r="Y189" s="90"/>
      <c r="Z189" s="90"/>
      <c r="AA189" s="50"/>
      <c r="AB189" s="50"/>
      <c r="AC189" s="50"/>
      <c r="AD189" s="50"/>
      <c r="AE189" s="50"/>
      <c r="AF189" s="50"/>
      <c r="AG189" s="50"/>
      <c r="AH189" s="50"/>
      <c r="AI189" s="56"/>
      <c r="AJ189" s="6"/>
      <c r="AK189" s="6"/>
      <c r="AL189" s="6"/>
      <c r="AM189" s="6"/>
      <c r="AN189" s="6"/>
      <c r="AO189" s="6"/>
      <c r="AP189" s="6"/>
      <c r="AQ189" s="6"/>
      <c r="AR189" s="8"/>
      <c r="AS189" s="8"/>
      <c r="AT189" s="8"/>
      <c r="AU189" s="8"/>
      <c r="AV189" s="8"/>
      <c r="AW189" s="8"/>
      <c r="AX189" s="8"/>
      <c r="AY189" s="8"/>
      <c r="AZ189" s="8"/>
      <c r="BA189" s="8"/>
      <c r="BB189" s="8"/>
      <c r="BC189" s="8"/>
      <c r="BD189" s="8"/>
      <c r="BE189" s="8"/>
      <c r="BF189" s="8"/>
      <c r="BG189" s="8"/>
      <c r="BH189" s="8"/>
      <c r="BI189" s="8"/>
    </row>
    <row r="190" spans="1:61" s="7" customFormat="1" x14ac:dyDescent="0.2">
      <c r="A190" s="118"/>
      <c r="B190" s="118" t="str">
        <f t="shared" si="59"/>
        <v>monthly</v>
      </c>
      <c r="C190" s="118" t="str">
        <f t="shared" si="53"/>
        <v/>
      </c>
      <c r="D190" s="118" t="s">
        <v>78</v>
      </c>
      <c r="E190" s="118" t="str">
        <f t="shared" si="55"/>
        <v/>
      </c>
      <c r="F190" s="163"/>
      <c r="G190" s="163"/>
      <c r="H190" s="163"/>
      <c r="I190" s="163" t="s">
        <v>46</v>
      </c>
      <c r="J190" s="163"/>
      <c r="K190" s="163"/>
      <c r="L190" s="163"/>
      <c r="M190" s="168">
        <f t="shared" si="60"/>
        <v>0</v>
      </c>
      <c r="N190" s="168">
        <f t="shared" si="61"/>
        <v>0</v>
      </c>
      <c r="O190" s="268" t="s">
        <v>47</v>
      </c>
      <c r="P190" s="268"/>
      <c r="Q190" s="268"/>
      <c r="R190" s="268"/>
      <c r="S190" s="268"/>
      <c r="T190" s="239"/>
      <c r="U190" s="239"/>
      <c r="V190" s="240" t="s">
        <v>71</v>
      </c>
      <c r="W190" s="240"/>
      <c r="X190" s="41" t="str">
        <f>IF(AND(T190&gt;0,$M$203&lt;3,OR(W209="No",W209="Select")), "&lt;&lt; Click for more options", "")</f>
        <v/>
      </c>
      <c r="Y190" s="90"/>
      <c r="Z190" s="90"/>
      <c r="AA190" s="50"/>
      <c r="AB190" s="50"/>
      <c r="AC190" s="50"/>
      <c r="AD190" s="50"/>
      <c r="AE190" s="50"/>
      <c r="AF190" s="50"/>
      <c r="AG190" s="50"/>
      <c r="AH190" s="50"/>
      <c r="AI190" s="56"/>
      <c r="AJ190" s="6"/>
      <c r="AK190" s="6"/>
      <c r="AL190" s="6"/>
      <c r="AM190" s="6"/>
      <c r="AN190" s="6"/>
      <c r="AO190" s="6"/>
      <c r="AP190" s="6"/>
      <c r="AQ190" s="6"/>
      <c r="AR190" s="8"/>
      <c r="AS190" s="8"/>
      <c r="AT190" s="8"/>
      <c r="AU190" s="8"/>
      <c r="AV190" s="8"/>
      <c r="AW190" s="8"/>
      <c r="AX190" s="8"/>
      <c r="AY190" s="8"/>
      <c r="AZ190" s="8"/>
      <c r="BA190" s="8"/>
      <c r="BB190" s="8"/>
      <c r="BC190" s="8"/>
      <c r="BD190" s="8"/>
      <c r="BE190" s="8"/>
      <c r="BF190" s="8"/>
      <c r="BG190" s="8"/>
      <c r="BH190" s="8"/>
      <c r="BI190" s="8"/>
    </row>
    <row r="191" spans="1:61" s="7" customFormat="1" x14ac:dyDescent="0.2">
      <c r="A191" s="118"/>
      <c r="B191" s="118" t="str">
        <f t="shared" si="59"/>
        <v>monthly</v>
      </c>
      <c r="C191" s="118" t="str">
        <f t="shared" si="53"/>
        <v/>
      </c>
      <c r="D191" s="118" t="s">
        <v>78</v>
      </c>
      <c r="E191" s="118" t="str">
        <f t="shared" si="55"/>
        <v/>
      </c>
      <c r="F191" s="163"/>
      <c r="G191" s="163"/>
      <c r="H191" s="163"/>
      <c r="I191" s="163" t="s">
        <v>47</v>
      </c>
      <c r="J191" s="163"/>
      <c r="K191" s="163"/>
      <c r="L191" s="163"/>
      <c r="M191" s="168">
        <f t="shared" si="60"/>
        <v>0</v>
      </c>
      <c r="N191" s="168">
        <f t="shared" si="61"/>
        <v>0</v>
      </c>
      <c r="O191" s="236" t="s">
        <v>48</v>
      </c>
      <c r="P191" s="236"/>
      <c r="Q191" s="236"/>
      <c r="R191" s="236"/>
      <c r="S191" s="236"/>
      <c r="T191" s="271"/>
      <c r="U191" s="271"/>
      <c r="V191" s="238" t="s">
        <v>71</v>
      </c>
      <c r="W191" s="238"/>
      <c r="X191" s="42" t="str">
        <f>IF(AND(T191&gt;0,$M$203&lt;3,OR(W209="No",W209="Select")), "&lt;&lt; Click for more options", "")</f>
        <v/>
      </c>
      <c r="Y191" s="90"/>
      <c r="Z191" s="90"/>
      <c r="AA191" s="50"/>
      <c r="AB191" s="50"/>
      <c r="AC191" s="50"/>
      <c r="AD191" s="50"/>
      <c r="AE191" s="50"/>
      <c r="AF191" s="50"/>
      <c r="AG191" s="50"/>
      <c r="AH191" s="50"/>
      <c r="AI191" s="56"/>
      <c r="AJ191" s="6"/>
      <c r="AK191" s="6"/>
      <c r="AL191" s="6"/>
      <c r="AM191" s="6"/>
      <c r="AN191" s="6"/>
      <c r="AO191" s="6"/>
      <c r="AP191" s="6"/>
      <c r="AQ191" s="6"/>
      <c r="AR191" s="8"/>
      <c r="AS191" s="8"/>
      <c r="AT191" s="8"/>
      <c r="AU191" s="8"/>
      <c r="AV191" s="8"/>
      <c r="AW191" s="8"/>
      <c r="AX191" s="8"/>
      <c r="AY191" s="8"/>
      <c r="AZ191" s="8"/>
      <c r="BA191" s="8"/>
      <c r="BB191" s="8"/>
      <c r="BC191" s="8"/>
      <c r="BD191" s="8"/>
      <c r="BE191" s="8"/>
      <c r="BF191" s="8"/>
      <c r="BG191" s="8"/>
      <c r="BH191" s="8"/>
      <c r="BI191" s="8"/>
    </row>
    <row r="192" spans="1:61" s="7" customFormat="1" x14ac:dyDescent="0.2">
      <c r="A192" s="118"/>
      <c r="B192" s="118" t="str">
        <f t="shared" si="59"/>
        <v>monthly</v>
      </c>
      <c r="C192" s="118" t="str">
        <f t="shared" si="53"/>
        <v/>
      </c>
      <c r="D192" s="118" t="s">
        <v>78</v>
      </c>
      <c r="E192" s="118" t="str">
        <f t="shared" si="55"/>
        <v/>
      </c>
      <c r="F192" s="163"/>
      <c r="G192" s="163"/>
      <c r="H192" s="163"/>
      <c r="I192" s="163" t="s">
        <v>48</v>
      </c>
      <c r="J192" s="163"/>
      <c r="K192" s="163"/>
      <c r="L192" s="163"/>
      <c r="M192" s="168">
        <f t="shared" si="60"/>
        <v>0</v>
      </c>
      <c r="N192" s="168">
        <f t="shared" si="61"/>
        <v>0</v>
      </c>
      <c r="O192" s="268" t="s">
        <v>41</v>
      </c>
      <c r="P192" s="268"/>
      <c r="Q192" s="268"/>
      <c r="R192" s="268"/>
      <c r="S192" s="268"/>
      <c r="T192" s="239"/>
      <c r="U192" s="239"/>
      <c r="V192" s="240" t="s">
        <v>71</v>
      </c>
      <c r="W192" s="240"/>
      <c r="X192" s="41" t="str">
        <f>IF(AND(T192&gt;0,$M$203&lt;3,OR(W209="No",W209="Select")), "&lt;&lt; Click for more options", "")</f>
        <v/>
      </c>
      <c r="Y192" s="90"/>
      <c r="Z192" s="90"/>
      <c r="AA192" s="50"/>
      <c r="AB192" s="50"/>
      <c r="AC192" s="50"/>
      <c r="AD192" s="50"/>
      <c r="AE192" s="50"/>
      <c r="AF192" s="50"/>
      <c r="AG192" s="50"/>
      <c r="AH192" s="50"/>
      <c r="AI192" s="56"/>
      <c r="AJ192" s="6"/>
      <c r="AK192" s="6"/>
      <c r="AL192" s="6"/>
      <c r="AM192" s="6"/>
      <c r="AN192" s="6"/>
      <c r="AO192" s="6"/>
      <c r="AP192" s="6"/>
      <c r="AQ192" s="6"/>
      <c r="AR192" s="8"/>
      <c r="AS192" s="8"/>
      <c r="AT192" s="8"/>
      <c r="AU192" s="8"/>
      <c r="AV192" s="8"/>
      <c r="AW192" s="8"/>
      <c r="AX192" s="8"/>
      <c r="AY192" s="8"/>
      <c r="AZ192" s="8"/>
      <c r="BA192" s="8"/>
      <c r="BB192" s="8"/>
      <c r="BC192" s="8"/>
      <c r="BD192" s="8"/>
      <c r="BE192" s="8"/>
      <c r="BF192" s="8"/>
      <c r="BG192" s="8"/>
      <c r="BH192" s="8"/>
      <c r="BI192" s="8"/>
    </row>
    <row r="193" spans="1:61" s="7" customFormat="1" x14ac:dyDescent="0.2">
      <c r="A193" s="118"/>
      <c r="B193" s="118" t="str">
        <f t="shared" si="59"/>
        <v>monthly</v>
      </c>
      <c r="C193" s="118" t="str">
        <f t="shared" si="53"/>
        <v/>
      </c>
      <c r="D193" s="118" t="s">
        <v>78</v>
      </c>
      <c r="E193" s="118" t="str">
        <f t="shared" si="55"/>
        <v/>
      </c>
      <c r="F193" s="163"/>
      <c r="G193" s="163"/>
      <c r="H193" s="163"/>
      <c r="I193" s="163" t="s">
        <v>49</v>
      </c>
      <c r="J193" s="163"/>
      <c r="K193" s="163"/>
      <c r="L193" s="163"/>
      <c r="M193" s="168">
        <f t="shared" si="60"/>
        <v>0</v>
      </c>
      <c r="N193" s="168">
        <f t="shared" si="61"/>
        <v>0</v>
      </c>
      <c r="O193" s="236" t="s">
        <v>57</v>
      </c>
      <c r="P193" s="236"/>
      <c r="Q193" s="236"/>
      <c r="R193" s="236"/>
      <c r="S193" s="236"/>
      <c r="T193" s="271"/>
      <c r="U193" s="271"/>
      <c r="V193" s="238" t="s">
        <v>71</v>
      </c>
      <c r="W193" s="238"/>
      <c r="X193" s="42" t="str">
        <f>IF(AND(T193&gt;0,$M$203&lt;3,OR(W209="No",W209="Select")), "&lt;&lt; Click for more options", "")</f>
        <v/>
      </c>
      <c r="Y193" s="90"/>
      <c r="Z193" s="90"/>
      <c r="AA193" s="50"/>
      <c r="AB193" s="50"/>
      <c r="AC193" s="50"/>
      <c r="AD193" s="50"/>
      <c r="AE193" s="50"/>
      <c r="AF193" s="50"/>
      <c r="AG193" s="50"/>
      <c r="AH193" s="50"/>
      <c r="AI193" s="56"/>
      <c r="AJ193" s="6"/>
      <c r="AK193" s="6"/>
      <c r="AL193" s="6"/>
      <c r="AM193" s="6"/>
      <c r="AN193" s="6"/>
      <c r="AO193" s="6"/>
      <c r="AP193" s="6"/>
      <c r="AQ193" s="6"/>
      <c r="AR193" s="8"/>
      <c r="AS193" s="8"/>
      <c r="AT193" s="8"/>
      <c r="AU193" s="8"/>
      <c r="AV193" s="8"/>
      <c r="AW193" s="8"/>
      <c r="AX193" s="8"/>
      <c r="AY193" s="8"/>
      <c r="AZ193" s="8"/>
      <c r="BA193" s="8"/>
      <c r="BB193" s="8"/>
      <c r="BC193" s="8"/>
      <c r="BD193" s="8"/>
      <c r="BE193" s="8"/>
      <c r="BF193" s="8"/>
      <c r="BG193" s="8"/>
      <c r="BH193" s="8"/>
      <c r="BI193" s="8"/>
    </row>
    <row r="194" spans="1:61" s="7" customFormat="1" x14ac:dyDescent="0.2">
      <c r="A194" s="118"/>
      <c r="B194" s="118" t="str">
        <f t="shared" si="59"/>
        <v>monthly</v>
      </c>
      <c r="C194" s="118" t="str">
        <f t="shared" si="53"/>
        <v/>
      </c>
      <c r="D194" s="118" t="s">
        <v>78</v>
      </c>
      <c r="E194" s="118" t="str">
        <f t="shared" si="55"/>
        <v/>
      </c>
      <c r="F194" s="163"/>
      <c r="G194" s="163"/>
      <c r="H194" s="163"/>
      <c r="I194" s="163" t="s">
        <v>50</v>
      </c>
      <c r="J194" s="163"/>
      <c r="K194" s="163"/>
      <c r="L194" s="163"/>
      <c r="M194" s="168">
        <f t="shared" si="60"/>
        <v>0</v>
      </c>
      <c r="N194" s="168">
        <f t="shared" si="61"/>
        <v>0</v>
      </c>
      <c r="O194" s="268" t="s">
        <v>388</v>
      </c>
      <c r="P194" s="268"/>
      <c r="Q194" s="268"/>
      <c r="R194" s="268"/>
      <c r="S194" s="268"/>
      <c r="T194" s="239"/>
      <c r="U194" s="239"/>
      <c r="V194" s="240" t="s">
        <v>71</v>
      </c>
      <c r="W194" s="240"/>
      <c r="X194" s="152" t="str">
        <f>IF(T12="Off", "", IF(AND(T203&gt;50,SUM(N16:N23)&lt;9999,NOT($W$209="Yes")), "Life is about choices.", ""))</f>
        <v/>
      </c>
      <c r="Y194" s="90"/>
      <c r="Z194" s="90"/>
      <c r="AA194" s="50"/>
      <c r="AB194" s="50"/>
      <c r="AC194" s="50"/>
      <c r="AD194" s="50"/>
      <c r="AE194" s="50"/>
      <c r="AF194" s="50"/>
      <c r="AG194" s="50"/>
      <c r="AH194" s="50"/>
      <c r="AI194" s="56"/>
      <c r="AJ194" s="6"/>
      <c r="AK194" s="6"/>
      <c r="AL194" s="6"/>
      <c r="AM194" s="6"/>
      <c r="AN194" s="6"/>
      <c r="AO194" s="6"/>
      <c r="AP194" s="6"/>
      <c r="AQ194" s="6"/>
      <c r="AR194" s="8"/>
      <c r="AS194" s="8"/>
      <c r="AT194" s="8"/>
      <c r="AU194" s="8"/>
      <c r="AV194" s="8"/>
      <c r="AW194" s="8"/>
      <c r="AX194" s="8"/>
      <c r="AY194" s="8"/>
      <c r="AZ194" s="8"/>
      <c r="BA194" s="8"/>
      <c r="BB194" s="8"/>
      <c r="BC194" s="8"/>
      <c r="BD194" s="8"/>
      <c r="BE194" s="8"/>
      <c r="BF194" s="8"/>
      <c r="BG194" s="8"/>
      <c r="BH194" s="8"/>
      <c r="BI194" s="8"/>
    </row>
    <row r="195" spans="1:61" s="7" customFormat="1" x14ac:dyDescent="0.2">
      <c r="A195" s="118"/>
      <c r="B195" s="118" t="str">
        <f t="shared" si="59"/>
        <v>monthly</v>
      </c>
      <c r="C195" s="118" t="str">
        <f t="shared" si="53"/>
        <v/>
      </c>
      <c r="D195" s="118" t="s">
        <v>78</v>
      </c>
      <c r="E195" s="118" t="str">
        <f t="shared" si="55"/>
        <v/>
      </c>
      <c r="F195" s="163"/>
      <c r="G195" s="163"/>
      <c r="H195" s="163"/>
      <c r="I195" s="163" t="s">
        <v>51</v>
      </c>
      <c r="J195" s="163"/>
      <c r="K195" s="163"/>
      <c r="L195" s="163"/>
      <c r="M195" s="168">
        <f t="shared" si="60"/>
        <v>0</v>
      </c>
      <c r="N195" s="168">
        <f t="shared" si="61"/>
        <v>0</v>
      </c>
      <c r="O195" s="236"/>
      <c r="P195" s="236"/>
      <c r="Q195" s="236"/>
      <c r="R195" s="236"/>
      <c r="S195" s="236"/>
      <c r="T195" s="271"/>
      <c r="U195" s="271"/>
      <c r="V195" s="238" t="s">
        <v>71</v>
      </c>
      <c r="W195" s="238"/>
      <c r="X195" s="151" t="str">
        <f>IF(T12="Off", "", IF(AND(T203&gt;50,SUM(N16:N23)&lt;9999,NOT($W$209="Yes")), "You are not earning a big", ""))</f>
        <v/>
      </c>
      <c r="Y195" s="90"/>
      <c r="Z195" s="90"/>
      <c r="AA195" s="50"/>
      <c r="AB195" s="50"/>
      <c r="AC195" s="50"/>
      <c r="AD195" s="50"/>
      <c r="AE195" s="50"/>
      <c r="AF195" s="50"/>
      <c r="AG195" s="50"/>
      <c r="AH195" s="50"/>
      <c r="AI195" s="56"/>
      <c r="AJ195" s="6"/>
      <c r="AK195" s="6"/>
      <c r="AL195" s="6"/>
      <c r="AM195" s="6"/>
      <c r="AN195" s="6"/>
      <c r="AO195" s="6"/>
      <c r="AP195" s="6"/>
      <c r="AQ195" s="6"/>
      <c r="AR195" s="8"/>
      <c r="AS195" s="8"/>
      <c r="AT195" s="8"/>
      <c r="AU195" s="8"/>
      <c r="AV195" s="8"/>
      <c r="AW195" s="8"/>
      <c r="AX195" s="8"/>
      <c r="AY195" s="8"/>
      <c r="AZ195" s="8"/>
      <c r="BA195" s="8"/>
      <c r="BB195" s="8"/>
      <c r="BC195" s="8"/>
      <c r="BD195" s="8"/>
      <c r="BE195" s="8"/>
      <c r="BF195" s="8"/>
      <c r="BG195" s="8"/>
      <c r="BH195" s="8"/>
      <c r="BI195" s="8"/>
    </row>
    <row r="196" spans="1:61" s="7" customFormat="1" x14ac:dyDescent="0.2">
      <c r="A196" s="118"/>
      <c r="B196" s="118" t="str">
        <f t="shared" si="59"/>
        <v>monthly</v>
      </c>
      <c r="C196" s="118" t="str">
        <f t="shared" si="53"/>
        <v/>
      </c>
      <c r="D196" s="118" t="s">
        <v>78</v>
      </c>
      <c r="E196" s="118" t="str">
        <f t="shared" si="55"/>
        <v/>
      </c>
      <c r="F196" s="163"/>
      <c r="G196" s="163"/>
      <c r="H196" s="163"/>
      <c r="I196" s="163" t="s">
        <v>58</v>
      </c>
      <c r="J196" s="163"/>
      <c r="K196" s="163"/>
      <c r="L196" s="163"/>
      <c r="M196" s="168">
        <f t="shared" si="60"/>
        <v>0</v>
      </c>
      <c r="N196" s="168">
        <f t="shared" si="61"/>
        <v>0</v>
      </c>
      <c r="O196" s="268"/>
      <c r="P196" s="268"/>
      <c r="Q196" s="268"/>
      <c r="R196" s="268"/>
      <c r="S196" s="268"/>
      <c r="T196" s="239"/>
      <c r="U196" s="239"/>
      <c r="V196" s="240" t="s">
        <v>71</v>
      </c>
      <c r="W196" s="240"/>
      <c r="X196" s="152" t="str">
        <f>IF(T12="Off", "", IF(AND(T203&gt;50,SUM(N16:N23)&lt;9999,NOT($W$209="Yes")), "income yet in your chosen", ""))</f>
        <v/>
      </c>
      <c r="Y196" s="90"/>
      <c r="Z196" s="90"/>
      <c r="AA196" s="50"/>
      <c r="AB196" s="50"/>
      <c r="AC196" s="50"/>
      <c r="AD196" s="50"/>
      <c r="AE196" s="50"/>
      <c r="AF196" s="50"/>
      <c r="AG196" s="50"/>
      <c r="AH196" s="50"/>
      <c r="AI196" s="56"/>
      <c r="AJ196" s="6"/>
      <c r="AK196" s="6"/>
      <c r="AL196" s="6"/>
      <c r="AM196" s="6"/>
      <c r="AN196" s="6"/>
      <c r="AO196" s="6"/>
      <c r="AP196" s="6"/>
      <c r="AQ196" s="6"/>
      <c r="AR196" s="8"/>
      <c r="AS196" s="8"/>
      <c r="AT196" s="8"/>
      <c r="AU196" s="8"/>
      <c r="AV196" s="8"/>
      <c r="AW196" s="8"/>
      <c r="AX196" s="8"/>
      <c r="AY196" s="8"/>
      <c r="AZ196" s="8"/>
      <c r="BA196" s="8"/>
      <c r="BB196" s="8"/>
      <c r="BC196" s="8"/>
      <c r="BD196" s="8"/>
      <c r="BE196" s="8"/>
      <c r="BF196" s="8"/>
      <c r="BG196" s="8"/>
      <c r="BH196" s="8"/>
      <c r="BI196" s="8"/>
    </row>
    <row r="197" spans="1:61" s="7" customFormat="1" x14ac:dyDescent="0.2">
      <c r="A197" s="118"/>
      <c r="B197" s="118" t="str">
        <f t="shared" si="59"/>
        <v>monthly</v>
      </c>
      <c r="C197" s="118" t="str">
        <f t="shared" si="53"/>
        <v/>
      </c>
      <c r="D197" s="118" t="s">
        <v>78</v>
      </c>
      <c r="E197" s="118" t="str">
        <f t="shared" si="55"/>
        <v/>
      </c>
      <c r="F197" s="163"/>
      <c r="G197" s="163"/>
      <c r="H197" s="163"/>
      <c r="I197" s="163" t="s">
        <v>59</v>
      </c>
      <c r="J197" s="163"/>
      <c r="K197" s="163"/>
      <c r="L197" s="163"/>
      <c r="M197" s="168">
        <f t="shared" si="60"/>
        <v>0</v>
      </c>
      <c r="N197" s="168">
        <f t="shared" si="61"/>
        <v>0</v>
      </c>
      <c r="O197" s="236"/>
      <c r="P197" s="236"/>
      <c r="Q197" s="236"/>
      <c r="R197" s="236"/>
      <c r="S197" s="236"/>
      <c r="T197" s="271"/>
      <c r="U197" s="271"/>
      <c r="V197" s="238" t="s">
        <v>71</v>
      </c>
      <c r="W197" s="238"/>
      <c r="X197" s="151" t="str">
        <f>IF(T12="Off", "", IF(AND(T203&gt;50,SUM(N16:N23)&lt;9999,NOT($W$209="Yes")), "profession. Live like a student", ""))</f>
        <v/>
      </c>
      <c r="Y197" s="90"/>
      <c r="Z197" s="90"/>
      <c r="AA197" s="50"/>
      <c r="AB197" s="50"/>
      <c r="AC197" s="50"/>
      <c r="AD197" s="50"/>
      <c r="AE197" s="50"/>
      <c r="AF197" s="50"/>
      <c r="AG197" s="50"/>
      <c r="AH197" s="50"/>
      <c r="AI197" s="56"/>
      <c r="AJ197" s="6"/>
      <c r="AK197" s="6"/>
      <c r="AL197" s="6"/>
      <c r="AM197" s="6"/>
      <c r="AN197" s="6"/>
      <c r="AO197" s="6"/>
      <c r="AP197" s="6"/>
      <c r="AQ197" s="6"/>
      <c r="AR197" s="8"/>
      <c r="AS197" s="8"/>
      <c r="AT197" s="8"/>
      <c r="AU197" s="8"/>
      <c r="AV197" s="8"/>
      <c r="AW197" s="8"/>
      <c r="AX197" s="8"/>
      <c r="AY197" s="8"/>
      <c r="AZ197" s="8"/>
      <c r="BA197" s="8"/>
      <c r="BB197" s="8"/>
      <c r="BC197" s="8"/>
      <c r="BD197" s="8"/>
      <c r="BE197" s="8"/>
      <c r="BF197" s="8"/>
      <c r="BG197" s="8"/>
      <c r="BH197" s="8"/>
      <c r="BI197" s="8"/>
    </row>
    <row r="198" spans="1:61" s="7" customFormat="1" x14ac:dyDescent="0.2">
      <c r="A198" s="118"/>
      <c r="B198" s="118" t="str">
        <f t="shared" si="59"/>
        <v>monthly</v>
      </c>
      <c r="C198" s="118" t="str">
        <f t="shared" si="53"/>
        <v/>
      </c>
      <c r="D198" s="118" t="s">
        <v>78</v>
      </c>
      <c r="E198" s="118" t="str">
        <f t="shared" si="55"/>
        <v/>
      </c>
      <c r="F198" s="163"/>
      <c r="G198" s="163"/>
      <c r="H198" s="163"/>
      <c r="I198" s="163" t="s">
        <v>41</v>
      </c>
      <c r="J198" s="163"/>
      <c r="K198" s="163"/>
      <c r="L198" s="163"/>
      <c r="M198" s="168">
        <f t="shared" si="60"/>
        <v>0</v>
      </c>
      <c r="N198" s="168">
        <f t="shared" si="61"/>
        <v>0</v>
      </c>
      <c r="O198" s="268"/>
      <c r="P198" s="268"/>
      <c r="Q198" s="268"/>
      <c r="R198" s="268"/>
      <c r="S198" s="268"/>
      <c r="T198" s="239"/>
      <c r="U198" s="239"/>
      <c r="V198" s="240" t="s">
        <v>71</v>
      </c>
      <c r="W198" s="240"/>
      <c r="X198" s="152" t="str">
        <f>IF(T12="Off", "", IF(AND(T203&gt;50,SUM(N16:N23)&lt;9999,NOT($W$209="Yes")), "now so you don't have to later.", ""))</f>
        <v/>
      </c>
      <c r="Y198" s="90"/>
      <c r="Z198" s="90"/>
      <c r="AA198" s="50"/>
      <c r="AB198" s="50"/>
      <c r="AC198" s="50"/>
      <c r="AD198" s="50"/>
      <c r="AE198" s="50"/>
      <c r="AF198" s="50"/>
      <c r="AG198" s="50"/>
      <c r="AH198" s="50"/>
      <c r="AI198" s="56"/>
      <c r="AJ198" s="6"/>
      <c r="AK198" s="6"/>
      <c r="AL198" s="6"/>
      <c r="AM198" s="6"/>
      <c r="AN198" s="6"/>
      <c r="AO198" s="6"/>
      <c r="AP198" s="6"/>
      <c r="AQ198" s="6"/>
      <c r="AR198" s="8"/>
      <c r="AS198" s="8"/>
      <c r="AT198" s="8"/>
      <c r="AU198" s="8"/>
      <c r="AV198" s="8"/>
      <c r="AW198" s="8"/>
      <c r="AX198" s="8"/>
      <c r="AY198" s="8"/>
      <c r="AZ198" s="8"/>
      <c r="BA198" s="8"/>
      <c r="BB198" s="8"/>
      <c r="BC198" s="8"/>
      <c r="BD198" s="8"/>
      <c r="BE198" s="8"/>
      <c r="BF198" s="8"/>
      <c r="BG198" s="8"/>
      <c r="BH198" s="8"/>
      <c r="BI198" s="8"/>
    </row>
    <row r="199" spans="1:61" s="7" customFormat="1" x14ac:dyDescent="0.2">
      <c r="A199" s="118"/>
      <c r="B199" s="118" t="str">
        <f t="shared" si="59"/>
        <v>monthly</v>
      </c>
      <c r="C199" s="118" t="str">
        <f t="shared" si="53"/>
        <v/>
      </c>
      <c r="D199" s="118" t="s">
        <v>78</v>
      </c>
      <c r="E199" s="118" t="str">
        <f t="shared" si="55"/>
        <v/>
      </c>
      <c r="F199" s="163"/>
      <c r="G199" s="163"/>
      <c r="H199" s="163"/>
      <c r="I199" s="163" t="s">
        <v>43</v>
      </c>
      <c r="J199" s="163"/>
      <c r="K199" s="163"/>
      <c r="L199" s="163"/>
      <c r="M199" s="168">
        <f t="shared" si="60"/>
        <v>0</v>
      </c>
      <c r="N199" s="168">
        <f t="shared" si="61"/>
        <v>0</v>
      </c>
      <c r="O199" s="236"/>
      <c r="P199" s="236"/>
      <c r="Q199" s="236"/>
      <c r="R199" s="236"/>
      <c r="S199" s="236"/>
      <c r="T199" s="271"/>
      <c r="U199" s="271"/>
      <c r="V199" s="238" t="s">
        <v>71</v>
      </c>
      <c r="W199" s="238"/>
      <c r="X199" s="151" t="str">
        <f>IF(T12="Off", "", IF(AND(T203&gt;50,SUM(N16:N23)&lt;9999,NOT($W$209="Yes")), "Debt is expensive.", ""))</f>
        <v/>
      </c>
      <c r="Y199" s="90"/>
      <c r="Z199" s="90"/>
      <c r="AA199" s="50"/>
      <c r="AB199" s="50"/>
      <c r="AC199" s="50"/>
      <c r="AD199" s="50"/>
      <c r="AE199" s="50"/>
      <c r="AF199" s="50"/>
      <c r="AG199" s="50"/>
      <c r="AH199" s="50"/>
      <c r="AI199" s="56"/>
      <c r="AJ199" s="6"/>
      <c r="AK199" s="6"/>
      <c r="AL199" s="6"/>
      <c r="AM199" s="6"/>
      <c r="AN199" s="6"/>
      <c r="AO199" s="6"/>
      <c r="AP199" s="6"/>
      <c r="AQ199" s="6"/>
      <c r="AR199" s="8"/>
      <c r="AS199" s="8"/>
      <c r="AT199" s="8"/>
      <c r="AU199" s="8"/>
      <c r="AV199" s="8"/>
      <c r="AW199" s="8"/>
      <c r="AX199" s="8"/>
      <c r="AY199" s="8"/>
      <c r="AZ199" s="8"/>
      <c r="BA199" s="8"/>
      <c r="BB199" s="8"/>
      <c r="BC199" s="8"/>
      <c r="BD199" s="8"/>
      <c r="BE199" s="8"/>
      <c r="BF199" s="8"/>
      <c r="BG199" s="8"/>
      <c r="BH199" s="8"/>
      <c r="BI199" s="8"/>
    </row>
    <row r="200" spans="1:61" s="7" customFormat="1" x14ac:dyDescent="0.2">
      <c r="A200" s="118"/>
      <c r="B200" s="118" t="str">
        <f t="shared" si="59"/>
        <v>monthly</v>
      </c>
      <c r="C200" s="118" t="str">
        <f t="shared" si="53"/>
        <v/>
      </c>
      <c r="D200" s="118" t="s">
        <v>78</v>
      </c>
      <c r="E200" s="118" t="str">
        <f t="shared" si="55"/>
        <v/>
      </c>
      <c r="F200" s="163"/>
      <c r="G200" s="163"/>
      <c r="H200" s="163"/>
      <c r="I200" s="163" t="s">
        <v>57</v>
      </c>
      <c r="J200" s="163"/>
      <c r="K200" s="163"/>
      <c r="L200" s="163"/>
      <c r="M200" s="168">
        <f t="shared" si="60"/>
        <v>0</v>
      </c>
      <c r="N200" s="168">
        <f t="shared" si="61"/>
        <v>0</v>
      </c>
      <c r="O200" s="268"/>
      <c r="P200" s="268"/>
      <c r="Q200" s="268"/>
      <c r="R200" s="268"/>
      <c r="S200" s="268"/>
      <c r="T200" s="239"/>
      <c r="U200" s="239"/>
      <c r="V200" s="240" t="s">
        <v>71</v>
      </c>
      <c r="W200" s="240"/>
      <c r="X200" s="46" t="str">
        <f>IF(T12="Off", "", IF(AND(T203&gt;50,SUM(N16:N23)&lt;9999,NOT($W$209="Yes")), "It shouldn't be normal.", ""))</f>
        <v/>
      </c>
      <c r="Y200" s="90"/>
      <c r="Z200" s="90"/>
      <c r="AA200" s="50"/>
      <c r="AB200" s="50"/>
      <c r="AC200" s="50"/>
      <c r="AD200" s="50"/>
      <c r="AE200" s="50"/>
      <c r="AF200" s="50"/>
      <c r="AG200" s="50"/>
      <c r="AH200" s="50"/>
      <c r="AI200" s="56"/>
      <c r="AJ200" s="6"/>
      <c r="AK200" s="6"/>
      <c r="AL200" s="6"/>
      <c r="AM200" s="6"/>
      <c r="AN200" s="6"/>
      <c r="AO200" s="6"/>
      <c r="AP200" s="6"/>
      <c r="AQ200" s="6"/>
      <c r="AR200" s="8"/>
      <c r="AS200" s="8"/>
      <c r="AT200" s="8"/>
      <c r="AU200" s="8"/>
      <c r="AV200" s="8"/>
      <c r="AW200" s="8"/>
      <c r="AX200" s="8"/>
      <c r="AY200" s="8"/>
      <c r="AZ200" s="8"/>
      <c r="BA200" s="8"/>
      <c r="BB200" s="8"/>
      <c r="BC200" s="8"/>
      <c r="BD200" s="8"/>
      <c r="BE200" s="8"/>
      <c r="BF200" s="8"/>
      <c r="BG200" s="8"/>
      <c r="BH200" s="8"/>
      <c r="BI200" s="8"/>
    </row>
    <row r="201" spans="1:61" s="7" customFormat="1" x14ac:dyDescent="0.2">
      <c r="A201" s="118"/>
      <c r="B201" s="118" t="str">
        <f t="shared" si="59"/>
        <v>monthly</v>
      </c>
      <c r="C201" s="118" t="str">
        <f t="shared" si="53"/>
        <v/>
      </c>
      <c r="D201" s="118" t="s">
        <v>78</v>
      </c>
      <c r="E201" s="118" t="str">
        <f t="shared" si="55"/>
        <v/>
      </c>
      <c r="F201" s="163"/>
      <c r="G201" s="163"/>
      <c r="H201" s="163"/>
      <c r="I201" s="163" t="s">
        <v>216</v>
      </c>
      <c r="J201" s="163"/>
      <c r="K201" s="163"/>
      <c r="L201" s="163"/>
      <c r="M201" s="168">
        <f t="shared" si="60"/>
        <v>0</v>
      </c>
      <c r="N201" s="168">
        <f t="shared" si="61"/>
        <v>0</v>
      </c>
      <c r="O201" s="236"/>
      <c r="P201" s="236"/>
      <c r="Q201" s="236"/>
      <c r="R201" s="236"/>
      <c r="S201" s="236"/>
      <c r="T201" s="271"/>
      <c r="U201" s="271"/>
      <c r="V201" s="238" t="s">
        <v>71</v>
      </c>
      <c r="W201" s="238"/>
      <c r="X201" s="45"/>
      <c r="Y201" s="90"/>
      <c r="Z201" s="90"/>
      <c r="AA201" s="50"/>
      <c r="AB201" s="50"/>
      <c r="AC201" s="50"/>
      <c r="AD201" s="50"/>
      <c r="AE201" s="50"/>
      <c r="AF201" s="50"/>
      <c r="AG201" s="50"/>
      <c r="AH201" s="50"/>
      <c r="AI201" s="56"/>
      <c r="AJ201" s="6"/>
      <c r="AK201" s="6"/>
      <c r="AL201" s="6"/>
      <c r="AM201" s="6"/>
      <c r="AN201" s="6"/>
      <c r="AO201" s="6"/>
      <c r="AP201" s="6"/>
      <c r="AQ201" s="6"/>
      <c r="AR201" s="8"/>
      <c r="AS201" s="8"/>
      <c r="AT201" s="8"/>
      <c r="AU201" s="8"/>
      <c r="AV201" s="8"/>
      <c r="AW201" s="8"/>
      <c r="AX201" s="8"/>
      <c r="AY201" s="8"/>
      <c r="AZ201" s="8"/>
      <c r="BA201" s="8"/>
      <c r="BB201" s="8"/>
      <c r="BC201" s="8"/>
      <c r="BD201" s="8"/>
      <c r="BE201" s="8"/>
      <c r="BF201" s="8"/>
      <c r="BG201" s="8"/>
      <c r="BH201" s="8"/>
      <c r="BI201" s="8"/>
    </row>
    <row r="202" spans="1:61" s="7" customFormat="1" x14ac:dyDescent="0.2">
      <c r="A202" s="118"/>
      <c r="B202" s="118" t="str">
        <f t="shared" si="59"/>
        <v>monthly</v>
      </c>
      <c r="C202" s="118" t="str">
        <f t="shared" si="53"/>
        <v/>
      </c>
      <c r="D202" s="118" t="s">
        <v>78</v>
      </c>
      <c r="E202" s="118" t="str">
        <f t="shared" si="55"/>
        <v/>
      </c>
      <c r="F202" s="163"/>
      <c r="G202" s="163"/>
      <c r="H202" s="163"/>
      <c r="I202" s="163"/>
      <c r="J202" s="163"/>
      <c r="K202" s="163"/>
      <c r="L202" s="163"/>
      <c r="M202" s="168">
        <f t="shared" si="60"/>
        <v>0</v>
      </c>
      <c r="N202" s="168">
        <f t="shared" si="61"/>
        <v>0</v>
      </c>
      <c r="O202" s="255"/>
      <c r="P202" s="255"/>
      <c r="Q202" s="255"/>
      <c r="R202" s="255"/>
      <c r="S202" s="255"/>
      <c r="T202" s="239"/>
      <c r="U202" s="239"/>
      <c r="V202" s="240" t="s">
        <v>71</v>
      </c>
      <c r="W202" s="240"/>
      <c r="X202" s="41"/>
      <c r="Y202" s="90"/>
      <c r="Z202" s="90"/>
      <c r="AA202" s="50"/>
      <c r="AB202" s="50"/>
      <c r="AC202" s="50"/>
      <c r="AD202" s="50"/>
      <c r="AE202" s="50"/>
      <c r="AF202" s="50"/>
      <c r="AG202" s="50"/>
      <c r="AH202" s="50"/>
      <c r="AI202" s="56"/>
      <c r="AJ202" s="6"/>
      <c r="AK202" s="6"/>
      <c r="AL202" s="6"/>
      <c r="AM202" s="6"/>
      <c r="AN202" s="6"/>
      <c r="AO202" s="6"/>
      <c r="AP202" s="6"/>
      <c r="AQ202" s="6"/>
      <c r="AR202" s="8"/>
      <c r="AS202" s="8"/>
      <c r="AT202" s="8"/>
      <c r="AU202" s="8"/>
      <c r="AV202" s="8"/>
      <c r="AW202" s="8"/>
      <c r="AX202" s="8"/>
      <c r="AY202" s="8"/>
      <c r="AZ202" s="8"/>
      <c r="BA202" s="8"/>
      <c r="BB202" s="8"/>
      <c r="BC202" s="8"/>
      <c r="BD202" s="8"/>
      <c r="BE202" s="8"/>
      <c r="BF202" s="8"/>
      <c r="BG202" s="8"/>
      <c r="BH202" s="8"/>
      <c r="BI202" s="8"/>
    </row>
    <row r="203" spans="1:61" s="7" customFormat="1" ht="17.25" customHeight="1" x14ac:dyDescent="0.2">
      <c r="A203" s="118"/>
      <c r="B203" s="118"/>
      <c r="C203" s="118"/>
      <c r="D203" s="118"/>
      <c r="E203" s="118"/>
      <c r="F203" s="163"/>
      <c r="G203" s="163"/>
      <c r="H203" s="163"/>
      <c r="I203" s="163"/>
      <c r="J203" s="163"/>
      <c r="K203" s="163"/>
      <c r="L203" s="163"/>
      <c r="M203" s="168">
        <f>SUM(M188:M202)</f>
        <v>0</v>
      </c>
      <c r="N203" s="168"/>
      <c r="O203" s="264" t="str">
        <f>IF(T12="On", IF(M203=0, "DEBT PAYMENTS TOTAL", IF((T203/T37)&gt;0.15, "Your DEBT PAYMENTS TOTAL of", "DEBT PAYMENTS TOTAL")), "DEBT PAYMENTS TOTAL")</f>
        <v>DEBT PAYMENTS TOTAL</v>
      </c>
      <c r="P203" s="264"/>
      <c r="Q203" s="264"/>
      <c r="R203" s="264"/>
      <c r="S203" s="264"/>
      <c r="T203" s="275">
        <f>SUM(N188:N202)</f>
        <v>0</v>
      </c>
      <c r="U203" s="275"/>
      <c r="V203" s="32" t="e">
        <f>IF(T12="On", T203/T37, "")</f>
        <v>#DIV/0!</v>
      </c>
      <c r="W203" s="282" t="str">
        <f>IF(T12="On", IF(M203=0, "", IF((T203/T37)&gt;1, " is greater than your income", IF((T203/T37)&gt;0.15, " is greater than 15% of your income",  ""))), "")</f>
        <v/>
      </c>
      <c r="X203" s="282"/>
      <c r="Y203" s="90"/>
      <c r="Z203" s="90"/>
      <c r="AA203" s="316" t="str">
        <f>IF(AA204="", "", "Helpful Budgeting Tip")</f>
        <v/>
      </c>
      <c r="AB203" s="316"/>
      <c r="AC203" s="316"/>
      <c r="AD203" s="316"/>
      <c r="AE203" s="316"/>
      <c r="AF203" s="316"/>
      <c r="AG203" s="316"/>
      <c r="AH203" s="316"/>
      <c r="AI203" s="85"/>
      <c r="AJ203" s="6"/>
      <c r="AK203" s="6"/>
      <c r="AL203" s="6"/>
      <c r="AM203" s="6"/>
      <c r="AN203" s="6"/>
      <c r="AO203" s="6"/>
      <c r="AP203" s="6"/>
      <c r="AQ203" s="6"/>
      <c r="AR203" s="8"/>
      <c r="AS203" s="8"/>
      <c r="AT203" s="8"/>
      <c r="AU203" s="8"/>
      <c r="AV203" s="8"/>
      <c r="AW203" s="8"/>
      <c r="AX203" s="8"/>
      <c r="AY203" s="8"/>
      <c r="AZ203" s="8"/>
      <c r="BA203" s="8"/>
      <c r="BB203" s="8"/>
      <c r="BC203" s="8"/>
      <c r="BD203" s="8"/>
      <c r="BE203" s="8"/>
      <c r="BF203" s="8"/>
      <c r="BG203" s="8"/>
      <c r="BH203" s="8"/>
      <c r="BI203" s="8"/>
    </row>
    <row r="204" spans="1:61" s="7" customFormat="1" ht="53.25" customHeight="1" x14ac:dyDescent="0.25">
      <c r="A204" s="118"/>
      <c r="B204" s="118"/>
      <c r="C204" s="118"/>
      <c r="D204" s="118"/>
      <c r="E204" s="118"/>
      <c r="F204" s="163"/>
      <c r="G204" s="163"/>
      <c r="H204" s="163"/>
      <c r="I204" s="163"/>
      <c r="J204" s="163"/>
      <c r="K204" s="163"/>
      <c r="L204" s="163"/>
      <c r="M204" s="168"/>
      <c r="N204" s="168"/>
      <c r="O204" s="246" t="str">
        <f>IF(T12="On", IF(AND(M203&lt;1,M205&gt;1), "If you're not sure where to start, begin by entering your minium payments.", IF(M203=0, "", IF(AND((T203/T37)&gt;1,N12=0),"If the numbers above are true, then you owe more than you earn. You need to resolve this right away. Call the Credit Counselling Society at 1-888-527-8999 to speak with a Credit Counsellor and see what your options are.", IF(AND((T203/T37)&gt;0.5,N12=0), CONCATENATE("We don't recommend letting debt payments exceed 15% of your budget. You're at ",M187, "%. You should speak to a Credit Counsellor right away about their debt relief program. Call 1-888-527-8999."), IF((T203/T37)&gt;0.23, CONCATENATE("Your budget probably feels a little tight because your monthly debt payments are high. We don't recommend letting debt payments exceed 15% of your budget, and you're at ",M187,"%. Look for ways to reduce spending or increase income, and use the extra money to pay down your debt."), IF((T203/T37)&gt;0.15, CONCATENATE("Your debt payments are a little high. We don't recommend letting them exceed 15% of your budget, and you're at ",M187,"%. Look for ways to pay down your debt."), IF((T203/T37)&lt;0.02,"Good work! Your debt payments are low. Keep paying your debt down but also consider building your savings.",IF((T203/T37)&lt;0.05,"Good for you! You're spending less than 5% of your budget on debt payments. Focus on paying this debt down but also save for future purchases.","")))))))), "")</f>
        <v/>
      </c>
      <c r="P204" s="246"/>
      <c r="Q204" s="246"/>
      <c r="R204" s="246"/>
      <c r="S204" s="246"/>
      <c r="T204" s="246"/>
      <c r="U204" s="246"/>
      <c r="V204" s="246"/>
      <c r="W204" s="246"/>
      <c r="X204" s="246"/>
      <c r="Y204" s="90"/>
      <c r="Z204" s="91"/>
      <c r="AA204" s="321" t="str">
        <f>IF(T12="On", IF(AND(M187&gt;23,N12=0), CONCATENATE(IF(N4=1,CONCATENATE(PROPER(T4),", if "),"If "),J304), IF(M187&gt;15, CONCATENATE(IF(N4=1,CONCATENATE(PROPER(T4),", if "),"If "),J306), "")), "")</f>
        <v/>
      </c>
      <c r="AB204" s="321"/>
      <c r="AC204" s="321"/>
      <c r="AD204" s="321"/>
      <c r="AE204" s="321"/>
      <c r="AF204" s="321"/>
      <c r="AG204" s="321"/>
      <c r="AH204" s="321"/>
      <c r="AI204" s="93"/>
      <c r="AJ204" s="6"/>
      <c r="AK204" s="6"/>
      <c r="AL204" s="6"/>
      <c r="AM204" s="6"/>
      <c r="AN204" s="6"/>
      <c r="AO204" s="6"/>
      <c r="AP204" s="6"/>
      <c r="AQ204" s="6"/>
      <c r="AR204" s="8"/>
      <c r="AS204" s="8"/>
      <c r="AT204" s="8"/>
      <c r="AU204" s="8"/>
      <c r="AV204" s="8"/>
      <c r="AW204" s="8"/>
      <c r="AX204" s="8"/>
      <c r="AY204" s="8"/>
      <c r="AZ204" s="8"/>
      <c r="BA204" s="8"/>
      <c r="BB204" s="8"/>
      <c r="BC204" s="8"/>
      <c r="BD204" s="8"/>
      <c r="BE204" s="8"/>
      <c r="BF204" s="8"/>
      <c r="BG204" s="8"/>
      <c r="BH204" s="8"/>
      <c r="BI204" s="8"/>
    </row>
    <row r="205" spans="1:61" s="7" customFormat="1" ht="18" customHeight="1" x14ac:dyDescent="0.2">
      <c r="A205" s="118"/>
      <c r="B205" s="118"/>
      <c r="C205" s="118"/>
      <c r="D205" s="118"/>
      <c r="E205" s="118"/>
      <c r="F205" s="163"/>
      <c r="G205" s="163"/>
      <c r="H205" s="163"/>
      <c r="I205" s="163"/>
      <c r="J205" s="163"/>
      <c r="K205" s="163"/>
      <c r="L205" s="163"/>
      <c r="M205" s="168">
        <f>M57+M70+M81+M96+M108+M128+M172+M184+M203</f>
        <v>0</v>
      </c>
      <c r="N205" s="168"/>
      <c r="O205" s="289" t="s">
        <v>369</v>
      </c>
      <c r="P205" s="289"/>
      <c r="Q205" s="289"/>
      <c r="R205" s="289"/>
      <c r="S205" s="289"/>
      <c r="T205" s="303">
        <f>T57+T70+T81+T96+T108+T128+T172+T184+T203</f>
        <v>0</v>
      </c>
      <c r="U205" s="303"/>
      <c r="V205" s="35" t="e">
        <f>IF(T12="On", T205/T37, "")</f>
        <v>#DIV/0!</v>
      </c>
      <c r="W205" s="293" t="str">
        <f>IF(T205&gt;T37, " Your budget does not balance", "")</f>
        <v/>
      </c>
      <c r="X205" s="293"/>
      <c r="Y205" s="90"/>
      <c r="Z205" s="91"/>
      <c r="AA205" s="321"/>
      <c r="AB205" s="321"/>
      <c r="AC205" s="321"/>
      <c r="AD205" s="321"/>
      <c r="AE205" s="321"/>
      <c r="AF205" s="321"/>
      <c r="AG205" s="321"/>
      <c r="AH205" s="321"/>
      <c r="AI205" s="85"/>
      <c r="AJ205" s="6"/>
      <c r="AK205" s="6"/>
      <c r="AL205" s="6"/>
      <c r="AM205" s="6"/>
      <c r="AN205" s="6"/>
      <c r="AO205" s="6"/>
      <c r="AP205" s="6"/>
      <c r="AQ205" s="6"/>
      <c r="AR205" s="8"/>
      <c r="AS205" s="8"/>
      <c r="AT205" s="8"/>
      <c r="AU205" s="8"/>
      <c r="AV205" s="8"/>
      <c r="AW205" s="8"/>
      <c r="AX205" s="8"/>
      <c r="AY205" s="8"/>
      <c r="AZ205" s="8"/>
      <c r="BA205" s="8"/>
      <c r="BB205" s="8"/>
      <c r="BC205" s="8"/>
      <c r="BD205" s="8"/>
      <c r="BE205" s="8"/>
      <c r="BF205" s="8"/>
      <c r="BG205" s="8"/>
      <c r="BH205" s="8"/>
      <c r="BI205" s="8"/>
    </row>
    <row r="206" spans="1:61" s="7" customFormat="1" ht="12.75" customHeight="1" x14ac:dyDescent="0.2">
      <c r="A206" s="118"/>
      <c r="B206" s="118"/>
      <c r="C206" s="118"/>
      <c r="D206" s="118"/>
      <c r="E206" s="118"/>
      <c r="F206" s="163"/>
      <c r="G206" s="163"/>
      <c r="H206" s="163" t="s">
        <v>393</v>
      </c>
      <c r="I206" s="163"/>
      <c r="J206" s="163"/>
      <c r="K206" s="163"/>
      <c r="L206" s="163"/>
      <c r="M206" s="168"/>
      <c r="N206" s="168"/>
      <c r="O206" s="290" t="str">
        <f>IF((T37-T205)&gt;0, "SURPLUS INCOME NOT ALLOCATED", "")</f>
        <v/>
      </c>
      <c r="P206" s="290"/>
      <c r="Q206" s="290"/>
      <c r="R206" s="290"/>
      <c r="S206" s="290"/>
      <c r="T206" s="296" t="str">
        <f>IF((T37-T205)&gt;0, T37-T205, "")</f>
        <v/>
      </c>
      <c r="U206" s="296"/>
      <c r="V206" s="36"/>
      <c r="W206" s="294" t="str">
        <f>IF(T206="", "", IF(T206&gt;99.99, IF(L252&gt;0.1, "&lt;&lt; Maybe use this to pay down debt", "&lt;&lt; This money needs a job"), ""))</f>
        <v/>
      </c>
      <c r="X206" s="294"/>
      <c r="Y206" s="90"/>
      <c r="Z206" s="91"/>
      <c r="AA206" s="321"/>
      <c r="AB206" s="321"/>
      <c r="AC206" s="321"/>
      <c r="AD206" s="321"/>
      <c r="AE206" s="321"/>
      <c r="AF206" s="321"/>
      <c r="AG206" s="321"/>
      <c r="AH206" s="321"/>
      <c r="AI206" s="85"/>
      <c r="AJ206" s="6"/>
      <c r="AK206" s="6"/>
      <c r="AL206" s="6"/>
      <c r="AM206" s="6"/>
      <c r="AN206" s="6"/>
      <c r="AO206" s="6"/>
      <c r="AP206" s="6"/>
      <c r="AQ206" s="6"/>
      <c r="AR206" s="8"/>
      <c r="AS206" s="8"/>
      <c r="AT206" s="8"/>
      <c r="AU206" s="8"/>
      <c r="AV206" s="8"/>
      <c r="AW206" s="8"/>
      <c r="AX206" s="8"/>
      <c r="AY206" s="8"/>
      <c r="AZ206" s="8"/>
      <c r="BA206" s="8"/>
      <c r="BB206" s="8"/>
      <c r="BC206" s="8"/>
      <c r="BD206" s="8"/>
      <c r="BE206" s="8"/>
      <c r="BF206" s="8"/>
      <c r="BG206" s="8"/>
      <c r="BH206" s="8"/>
      <c r="BI206" s="8"/>
    </row>
    <row r="207" spans="1:61" s="7" customFormat="1" ht="12.75" customHeight="1" x14ac:dyDescent="0.2">
      <c r="A207" s="118"/>
      <c r="B207" s="118"/>
      <c r="C207" s="118"/>
      <c r="D207" s="118"/>
      <c r="E207" s="118"/>
      <c r="F207" s="163"/>
      <c r="G207" s="163"/>
      <c r="H207" s="163" t="s">
        <v>394</v>
      </c>
      <c r="I207" s="163"/>
      <c r="J207" s="163"/>
      <c r="K207" s="163"/>
      <c r="L207" s="163"/>
      <c r="M207" s="168"/>
      <c r="N207" s="168"/>
      <c r="O207" s="94"/>
      <c r="P207" s="94"/>
      <c r="Q207" s="94"/>
      <c r="R207" s="94"/>
      <c r="S207" s="94"/>
      <c r="T207" s="95"/>
      <c r="U207" s="95"/>
      <c r="V207" s="96"/>
      <c r="W207" s="97"/>
      <c r="X207" s="97"/>
      <c r="Y207" s="90"/>
      <c r="Z207" s="91"/>
      <c r="AA207" s="320" t="str">
        <f>IF(T12="On", IF(OR(AND(M187&gt;15,M187&lt;=23),AND(M187&gt;15,N12&gt;0)), "12 of the Most Effective Ways to Get Out of Debt", ""), "")</f>
        <v/>
      </c>
      <c r="AB207" s="320"/>
      <c r="AC207" s="320"/>
      <c r="AD207" s="320"/>
      <c r="AE207" s="320"/>
      <c r="AF207" s="320"/>
      <c r="AG207" s="320"/>
      <c r="AH207" s="320"/>
      <c r="AI207" s="85"/>
      <c r="AJ207" s="6"/>
      <c r="AK207" s="6"/>
      <c r="AL207" s="6"/>
      <c r="AM207" s="6"/>
      <c r="AN207" s="6"/>
      <c r="AO207" s="6"/>
      <c r="AP207" s="6"/>
      <c r="AQ207" s="6"/>
      <c r="AR207" s="8"/>
      <c r="AS207" s="8"/>
      <c r="AT207" s="8"/>
      <c r="AU207" s="8"/>
      <c r="AV207" s="8"/>
      <c r="AW207" s="8"/>
      <c r="AX207" s="8"/>
      <c r="AY207" s="8"/>
      <c r="AZ207" s="8"/>
      <c r="BA207" s="8"/>
      <c r="BB207" s="8"/>
      <c r="BC207" s="8"/>
      <c r="BD207" s="8"/>
      <c r="BE207" s="8"/>
      <c r="BF207" s="8"/>
      <c r="BG207" s="8"/>
      <c r="BH207" s="8"/>
      <c r="BI207" s="8"/>
    </row>
    <row r="208" spans="1:61" s="7" customFormat="1" ht="12.75" customHeight="1" x14ac:dyDescent="0.2">
      <c r="A208" s="118"/>
      <c r="B208" s="118"/>
      <c r="C208" s="118"/>
      <c r="D208" s="118"/>
      <c r="E208" s="118"/>
      <c r="F208" s="163"/>
      <c r="G208" s="163"/>
      <c r="H208" s="163"/>
      <c r="I208" s="163"/>
      <c r="J208" s="163"/>
      <c r="K208" s="163"/>
      <c r="L208" s="163"/>
      <c r="M208" s="168"/>
      <c r="N208" s="168"/>
      <c r="O208" s="295" t="s">
        <v>373</v>
      </c>
      <c r="P208" s="295"/>
      <c r="Q208" s="295"/>
      <c r="R208" s="295"/>
      <c r="S208" s="295"/>
      <c r="T208" s="295"/>
      <c r="U208" s="295"/>
      <c r="V208" s="66"/>
      <c r="W208" s="98"/>
      <c r="X208" s="66"/>
      <c r="Y208" s="90"/>
      <c r="Z208" s="91"/>
      <c r="AA208" s="320" t="str">
        <f>IF(T12="On", IF(AND(M187&gt;23,N12=0), "Find a local, non-profit budgeting and debt help expert", ""), "")</f>
        <v/>
      </c>
      <c r="AB208" s="320"/>
      <c r="AC208" s="320"/>
      <c r="AD208" s="320"/>
      <c r="AE208" s="320"/>
      <c r="AF208" s="320"/>
      <c r="AG208" s="320"/>
      <c r="AH208" s="320"/>
      <c r="AI208" s="85"/>
      <c r="AJ208" s="6"/>
      <c r="AK208" s="6"/>
      <c r="AL208" s="6"/>
      <c r="AM208" s="6"/>
      <c r="AN208" s="6"/>
      <c r="AO208" s="6"/>
      <c r="AP208" s="6"/>
      <c r="AQ208" s="6"/>
      <c r="AR208" s="8"/>
      <c r="AS208" s="8"/>
      <c r="AT208" s="8"/>
      <c r="AU208" s="8"/>
      <c r="AV208" s="8"/>
      <c r="AW208" s="8"/>
      <c r="AX208" s="8"/>
      <c r="AY208" s="8"/>
      <c r="AZ208" s="8"/>
      <c r="BA208" s="8"/>
      <c r="BB208" s="8"/>
      <c r="BC208" s="8"/>
      <c r="BD208" s="8"/>
      <c r="BE208" s="8"/>
      <c r="BF208" s="8"/>
      <c r="BG208" s="8"/>
      <c r="BH208" s="8"/>
      <c r="BI208" s="8"/>
    </row>
    <row r="209" spans="1:61" s="7" customFormat="1" ht="18" customHeight="1" x14ac:dyDescent="0.25">
      <c r="A209" s="118"/>
      <c r="B209" s="118"/>
      <c r="C209" s="118"/>
      <c r="D209" s="118"/>
      <c r="E209" s="118"/>
      <c r="F209" s="163"/>
      <c r="G209" s="163"/>
      <c r="H209" s="163"/>
      <c r="I209" s="163"/>
      <c r="J209" s="163"/>
      <c r="K209" s="163"/>
      <c r="L209" s="163"/>
      <c r="M209" s="168"/>
      <c r="N209" s="168"/>
      <c r="O209" s="295"/>
      <c r="P209" s="295"/>
      <c r="Q209" s="295"/>
      <c r="R209" s="295"/>
      <c r="S209" s="295"/>
      <c r="T209" s="295"/>
      <c r="U209" s="295"/>
      <c r="V209" s="99"/>
      <c r="W209" s="100" t="s">
        <v>79</v>
      </c>
      <c r="X209" s="99"/>
      <c r="Y209" s="90"/>
      <c r="Z209" s="91"/>
      <c r="AA209" s="114"/>
      <c r="AB209" s="114"/>
      <c r="AC209" s="114"/>
      <c r="AD209" s="114"/>
      <c r="AE209" s="114"/>
      <c r="AF209" s="114"/>
      <c r="AG209" s="114"/>
      <c r="AH209" s="114"/>
      <c r="AI209" s="9"/>
      <c r="AJ209" s="9"/>
      <c r="AK209" s="9"/>
      <c r="AL209" s="9"/>
      <c r="AM209" s="9"/>
      <c r="AN209" s="9"/>
      <c r="AO209" s="6"/>
      <c r="AP209" s="6"/>
      <c r="AQ209" s="6"/>
      <c r="AR209" s="8"/>
      <c r="AS209" s="8"/>
      <c r="AT209" s="8"/>
      <c r="AU209" s="8"/>
      <c r="AV209" s="8"/>
      <c r="AW209" s="8"/>
      <c r="AX209" s="8"/>
      <c r="AY209" s="8"/>
      <c r="AZ209" s="8"/>
      <c r="BA209" s="8"/>
      <c r="BB209" s="8"/>
      <c r="BC209" s="8"/>
      <c r="BD209" s="8"/>
      <c r="BE209" s="8"/>
      <c r="BF209" s="8"/>
      <c r="BG209" s="8"/>
      <c r="BH209" s="8"/>
      <c r="BI209" s="8"/>
    </row>
    <row r="210" spans="1:61" s="7" customFormat="1" ht="12.75" customHeight="1" x14ac:dyDescent="0.25">
      <c r="A210" s="118"/>
      <c r="B210" s="118"/>
      <c r="C210" s="118"/>
      <c r="D210" s="118"/>
      <c r="E210" s="118"/>
      <c r="F210" s="163"/>
      <c r="G210" s="163"/>
      <c r="H210" s="163"/>
      <c r="I210" s="163"/>
      <c r="J210" s="163"/>
      <c r="K210" s="163"/>
      <c r="L210" s="163"/>
      <c r="M210" s="168"/>
      <c r="N210" s="168"/>
      <c r="O210" s="295"/>
      <c r="P210" s="295"/>
      <c r="Q210" s="295"/>
      <c r="R210" s="295"/>
      <c r="S210" s="295"/>
      <c r="T210" s="295"/>
      <c r="U210" s="295"/>
      <c r="V210" s="99"/>
      <c r="W210" s="101"/>
      <c r="X210" s="101"/>
      <c r="Y210" s="90"/>
      <c r="Z210" s="91"/>
      <c r="AA210" s="114"/>
      <c r="AB210" s="114"/>
      <c r="AC210" s="114"/>
      <c r="AD210" s="114"/>
      <c r="AE210" s="114"/>
      <c r="AF210" s="114"/>
      <c r="AG210" s="114"/>
      <c r="AH210" s="114"/>
      <c r="AI210" s="9"/>
      <c r="AJ210" s="9"/>
      <c r="AK210" s="9"/>
      <c r="AL210" s="9"/>
      <c r="AM210" s="9"/>
      <c r="AN210" s="9"/>
      <c r="AO210" s="6"/>
      <c r="AP210" s="6"/>
      <c r="AQ210" s="6"/>
      <c r="AR210" s="8"/>
      <c r="AS210" s="8"/>
      <c r="AT210" s="8"/>
      <c r="AU210" s="8"/>
      <c r="AV210" s="8"/>
      <c r="AW210" s="8"/>
      <c r="AX210" s="8"/>
      <c r="AY210" s="8"/>
      <c r="AZ210" s="8"/>
      <c r="BA210" s="8"/>
      <c r="BB210" s="8"/>
      <c r="BC210" s="8"/>
      <c r="BD210" s="8"/>
      <c r="BE210" s="8"/>
      <c r="BF210" s="8"/>
      <c r="BG210" s="8"/>
      <c r="BH210" s="8"/>
      <c r="BI210" s="8"/>
    </row>
    <row r="211" spans="1:61" s="7" customFormat="1" ht="12.75" customHeight="1" x14ac:dyDescent="0.25">
      <c r="A211" s="118"/>
      <c r="B211" s="118"/>
      <c r="C211" s="118"/>
      <c r="D211" s="118"/>
      <c r="E211" s="118"/>
      <c r="F211" s="163"/>
      <c r="G211" s="163"/>
      <c r="H211" s="163"/>
      <c r="I211" s="163"/>
      <c r="J211" s="163"/>
      <c r="K211" s="163"/>
      <c r="L211" s="163"/>
      <c r="M211" s="168"/>
      <c r="N211" s="168"/>
      <c r="O211" s="311" t="str">
        <f>IF(T12="Off", "", IF(W209="Yes", "Would you like us to see if we can offer any suggestions to improve your budget or help you further reduce your expenses?", "Scroll down to edit Budgeting Guidelines"))</f>
        <v>Scroll down to edit Budgeting Guidelines</v>
      </c>
      <c r="P211" s="311"/>
      <c r="Q211" s="311"/>
      <c r="R211" s="311"/>
      <c r="S211" s="311"/>
      <c r="T211" s="311"/>
      <c r="U211" s="311"/>
      <c r="V211" s="102"/>
      <c r="W211" s="103"/>
      <c r="X211" s="103"/>
      <c r="Y211" s="90"/>
      <c r="Z211" s="91"/>
      <c r="AA211" s="114"/>
      <c r="AB211" s="114"/>
      <c r="AC211" s="114"/>
      <c r="AD211" s="114"/>
      <c r="AE211" s="114"/>
      <c r="AF211" s="114"/>
      <c r="AG211" s="114"/>
      <c r="AH211" s="114"/>
      <c r="AI211" s="9"/>
      <c r="AJ211" s="9"/>
      <c r="AK211" s="9"/>
      <c r="AL211" s="9"/>
      <c r="AM211" s="9"/>
      <c r="AN211" s="9"/>
      <c r="AO211" s="6"/>
      <c r="AP211" s="6"/>
      <c r="AQ211" s="6"/>
      <c r="AR211" s="8"/>
      <c r="AS211" s="8"/>
      <c r="AT211" s="8"/>
      <c r="AU211" s="8"/>
      <c r="AV211" s="8"/>
      <c r="AW211" s="8"/>
      <c r="AX211" s="8"/>
      <c r="AY211" s="8"/>
      <c r="AZ211" s="8"/>
      <c r="BA211" s="8"/>
      <c r="BB211" s="8"/>
      <c r="BC211" s="8"/>
      <c r="BD211" s="8"/>
      <c r="BE211" s="8"/>
      <c r="BF211" s="8"/>
      <c r="BG211" s="8"/>
      <c r="BH211" s="8"/>
      <c r="BI211" s="8"/>
    </row>
    <row r="212" spans="1:61" s="7" customFormat="1" ht="18" customHeight="1" x14ac:dyDescent="0.25">
      <c r="A212" s="118"/>
      <c r="B212" s="118"/>
      <c r="C212" s="118"/>
      <c r="D212" s="118"/>
      <c r="E212" s="118"/>
      <c r="F212" s="163"/>
      <c r="G212" s="163"/>
      <c r="H212" s="163"/>
      <c r="I212" s="163"/>
      <c r="J212" s="163"/>
      <c r="K212" s="163"/>
      <c r="L212" s="163"/>
      <c r="M212" s="168"/>
      <c r="N212" s="168"/>
      <c r="O212" s="311"/>
      <c r="P212" s="311"/>
      <c r="Q212" s="311"/>
      <c r="R212" s="311"/>
      <c r="S212" s="311"/>
      <c r="T212" s="311"/>
      <c r="U212" s="311"/>
      <c r="V212" s="102"/>
      <c r="W212" s="104" t="s">
        <v>79</v>
      </c>
      <c r="X212" s="103"/>
      <c r="Y212" s="90"/>
      <c r="Z212" s="91"/>
      <c r="AA212" s="114"/>
      <c r="AB212" s="114"/>
      <c r="AC212" s="114"/>
      <c r="AD212" s="114"/>
      <c r="AE212" s="114"/>
      <c r="AF212" s="114"/>
      <c r="AG212" s="114"/>
      <c r="AH212" s="114"/>
      <c r="AI212" s="9"/>
      <c r="AJ212" s="9"/>
      <c r="AK212" s="9"/>
      <c r="AL212" s="9"/>
      <c r="AM212" s="9"/>
      <c r="AN212" s="9"/>
      <c r="AO212" s="6"/>
      <c r="AP212" s="6"/>
      <c r="AQ212" s="6"/>
      <c r="AR212" s="8"/>
      <c r="AS212" s="8"/>
      <c r="AT212" s="8"/>
      <c r="AU212" s="8"/>
      <c r="AV212" s="8"/>
      <c r="AW212" s="8"/>
      <c r="AX212" s="8"/>
      <c r="AY212" s="8"/>
      <c r="AZ212" s="8"/>
      <c r="BA212" s="8"/>
      <c r="BB212" s="8"/>
      <c r="BC212" s="8"/>
      <c r="BD212" s="8"/>
      <c r="BE212" s="8"/>
      <c r="BF212" s="8"/>
      <c r="BG212" s="8"/>
      <c r="BH212" s="8"/>
      <c r="BI212" s="8"/>
    </row>
    <row r="213" spans="1:61" s="7" customFormat="1" ht="12.75" customHeight="1" x14ac:dyDescent="0.25">
      <c r="A213" s="118"/>
      <c r="B213" s="118"/>
      <c r="C213" s="118"/>
      <c r="D213" s="118"/>
      <c r="E213" s="118"/>
      <c r="F213" s="163"/>
      <c r="G213" s="163"/>
      <c r="H213" s="163"/>
      <c r="I213" s="163"/>
      <c r="J213" s="163"/>
      <c r="K213" s="163"/>
      <c r="L213" s="163"/>
      <c r="M213" s="168"/>
      <c r="N213" s="168"/>
      <c r="O213" s="311"/>
      <c r="P213" s="311"/>
      <c r="Q213" s="311"/>
      <c r="R213" s="311"/>
      <c r="S213" s="311"/>
      <c r="T213" s="311"/>
      <c r="U213" s="311"/>
      <c r="V213" s="102"/>
      <c r="W213" s="103"/>
      <c r="X213" s="103"/>
      <c r="Y213" s="90"/>
      <c r="Z213" s="91"/>
      <c r="AA213" s="114"/>
      <c r="AB213" s="114"/>
      <c r="AC213" s="114"/>
      <c r="AD213" s="114"/>
      <c r="AE213" s="114"/>
      <c r="AF213" s="114"/>
      <c r="AG213" s="114"/>
      <c r="AH213" s="114"/>
      <c r="AI213" s="9"/>
      <c r="AJ213" s="9"/>
      <c r="AK213" s="9"/>
      <c r="AL213" s="9"/>
      <c r="AM213" s="9"/>
      <c r="AN213" s="9"/>
      <c r="AO213" s="6"/>
      <c r="AP213" s="6"/>
      <c r="AQ213" s="6"/>
      <c r="AR213" s="8"/>
      <c r="AS213" s="8"/>
      <c r="AT213" s="8"/>
      <c r="AU213" s="8"/>
      <c r="AV213" s="8"/>
      <c r="AW213" s="8"/>
      <c r="AX213" s="8"/>
      <c r="AY213" s="8"/>
      <c r="AZ213" s="8"/>
      <c r="BA213" s="8"/>
      <c r="BB213" s="8"/>
      <c r="BC213" s="8"/>
      <c r="BD213" s="8"/>
      <c r="BE213" s="8"/>
      <c r="BF213" s="8"/>
      <c r="BG213" s="8"/>
      <c r="BH213" s="8"/>
      <c r="BI213" s="8"/>
    </row>
    <row r="214" spans="1:61" s="7" customFormat="1" ht="46.5" customHeight="1" x14ac:dyDescent="0.25">
      <c r="A214" s="118"/>
      <c r="B214" s="118"/>
      <c r="C214" s="118"/>
      <c r="D214" s="118"/>
      <c r="E214" s="118"/>
      <c r="F214" s="163"/>
      <c r="G214" s="163"/>
      <c r="H214" s="163"/>
      <c r="I214" s="163"/>
      <c r="J214" s="163"/>
      <c r="K214" s="163"/>
      <c r="L214" s="163"/>
      <c r="M214" s="168"/>
      <c r="N214" s="168" t="e">
        <f>ROUND(SUM(M344:M375),0)</f>
        <v>#DIV/0!</v>
      </c>
      <c r="O214" s="302" t="str">
        <f>IF(W212="Yes", IF(T10=0, "Please enter the number of people who will be supported by this budget at the top of the page. If you are only budgeting for yourself, then simply enter the number 1. If you don't provide the budget with this information, it won't work optimally.", CONCATENATE("Below are some suggestions that may be able to help you with your budget and possibly save you a lot of money."," Please keep in mind that the suggestions we are offering you are limited to the information you have provided here and are intended only as general guidance, not specific advice. Only you can decide what is best for you and your family.")),"")</f>
        <v/>
      </c>
      <c r="P214" s="302"/>
      <c r="Q214" s="302"/>
      <c r="R214" s="302"/>
      <c r="S214" s="302"/>
      <c r="T214" s="302"/>
      <c r="U214" s="302"/>
      <c r="V214" s="302"/>
      <c r="W214" s="302"/>
      <c r="X214" s="302"/>
      <c r="Y214" s="90"/>
      <c r="Z214" s="91"/>
      <c r="AA214" s="114"/>
      <c r="AB214" s="114"/>
      <c r="AC214" s="114"/>
      <c r="AD214" s="114"/>
      <c r="AE214" s="114"/>
      <c r="AF214" s="114"/>
      <c r="AG214" s="114"/>
      <c r="AH214" s="114"/>
      <c r="AI214" s="9"/>
      <c r="AJ214" s="9"/>
      <c r="AK214" s="9"/>
      <c r="AL214" s="9"/>
      <c r="AM214" s="9"/>
      <c r="AN214" s="9"/>
      <c r="AO214" s="6"/>
      <c r="AP214" s="6"/>
      <c r="AQ214" s="6"/>
      <c r="AR214" s="8"/>
      <c r="AS214" s="8"/>
      <c r="AT214" s="8"/>
      <c r="AU214" s="8"/>
      <c r="AV214" s="8"/>
      <c r="AW214" s="8"/>
      <c r="AX214" s="8"/>
      <c r="AY214" s="8"/>
      <c r="AZ214" s="8"/>
      <c r="BA214" s="8"/>
      <c r="BB214" s="8"/>
      <c r="BC214" s="8"/>
      <c r="BD214" s="8"/>
      <c r="BE214" s="8"/>
      <c r="BF214" s="8"/>
      <c r="BG214" s="8"/>
      <c r="BH214" s="8"/>
      <c r="BI214" s="8"/>
    </row>
    <row r="215" spans="1:61" s="7" customFormat="1" ht="20.25" customHeight="1" x14ac:dyDescent="0.25">
      <c r="A215" s="118"/>
      <c r="B215" s="118"/>
      <c r="C215" s="118"/>
      <c r="D215" s="118"/>
      <c r="E215" s="118"/>
      <c r="F215" s="163"/>
      <c r="G215" s="163"/>
      <c r="H215" s="163"/>
      <c r="I215" s="163"/>
      <c r="J215" s="163"/>
      <c r="K215" s="163"/>
      <c r="L215" s="163"/>
      <c r="M215" s="168"/>
      <c r="N215" s="168"/>
      <c r="O215" s="305" t="str">
        <f>IF(OR(W212="No",W212="", W212="Select"), "", CONCATENATE(N343,N339,N340,N341,N342,N344,N345,N346,N347,N348,N349,N350,N351,N352,N353,N354,N355,N356,N357,N358,N359,N360,N361,N362,N363,N364,N365,N366,N367,N368,N369,N370,N371,N372,N373,N374,N375,N376))</f>
        <v/>
      </c>
      <c r="P215" s="305"/>
      <c r="Q215" s="305"/>
      <c r="R215" s="305"/>
      <c r="S215" s="305"/>
      <c r="T215" s="305"/>
      <c r="U215" s="305"/>
      <c r="V215" s="305"/>
      <c r="W215" s="305"/>
      <c r="X215" s="305"/>
      <c r="Y215" s="90"/>
      <c r="Z215" s="91"/>
      <c r="AA215" s="114"/>
      <c r="AB215" s="114"/>
      <c r="AC215" s="114"/>
      <c r="AD215" s="114"/>
      <c r="AE215" s="114"/>
      <c r="AF215" s="114"/>
      <c r="AG215" s="114"/>
      <c r="AH215" s="114"/>
      <c r="AI215" s="9"/>
      <c r="AJ215" s="9"/>
      <c r="AK215" s="9"/>
      <c r="AL215" s="9"/>
      <c r="AM215" s="9"/>
      <c r="AN215" s="9"/>
      <c r="AO215" s="6"/>
      <c r="AP215" s="6"/>
      <c r="AQ215" s="6"/>
      <c r="AR215" s="8"/>
      <c r="AS215" s="8"/>
      <c r="AT215" s="8"/>
      <c r="AU215" s="8"/>
      <c r="AV215" s="8"/>
      <c r="AW215" s="8"/>
      <c r="AX215" s="8"/>
      <c r="AY215" s="8"/>
      <c r="AZ215" s="8"/>
      <c r="BA215" s="8"/>
      <c r="BB215" s="8"/>
      <c r="BC215" s="8"/>
      <c r="BD215" s="8"/>
      <c r="BE215" s="8"/>
      <c r="BF215" s="8"/>
      <c r="BG215" s="8"/>
      <c r="BH215" s="8"/>
      <c r="BI215" s="8"/>
    </row>
    <row r="216" spans="1:61" s="7" customFormat="1" ht="12.75" customHeight="1" x14ac:dyDescent="0.2">
      <c r="A216" s="118"/>
      <c r="B216" s="118"/>
      <c r="C216" s="118"/>
      <c r="D216" s="118"/>
      <c r="E216" s="118"/>
      <c r="F216" s="163"/>
      <c r="G216" s="163"/>
      <c r="H216" s="163"/>
      <c r="I216" s="163"/>
      <c r="J216" s="163"/>
      <c r="K216" s="163"/>
      <c r="L216" s="163"/>
      <c r="M216" s="168"/>
      <c r="N216" s="168"/>
      <c r="O216" s="305"/>
      <c r="P216" s="305"/>
      <c r="Q216" s="305"/>
      <c r="R216" s="305"/>
      <c r="S216" s="305"/>
      <c r="T216" s="305"/>
      <c r="U216" s="305"/>
      <c r="V216" s="305"/>
      <c r="W216" s="305"/>
      <c r="X216" s="305"/>
      <c r="Y216" s="90"/>
      <c r="Z216" s="91"/>
      <c r="AA216" s="1"/>
      <c r="AB216" s="1"/>
      <c r="AC216" s="1"/>
      <c r="AD216" s="1"/>
      <c r="AE216" s="1"/>
      <c r="AF216" s="1"/>
      <c r="AG216" s="1"/>
      <c r="AH216" s="1"/>
      <c r="AI216" s="9"/>
      <c r="AJ216" s="9"/>
      <c r="AK216" s="9"/>
      <c r="AL216" s="9"/>
      <c r="AM216" s="9"/>
      <c r="AN216" s="9"/>
      <c r="AO216" s="6"/>
      <c r="AP216" s="6"/>
      <c r="AQ216" s="6"/>
      <c r="AR216" s="8"/>
      <c r="AS216" s="8"/>
      <c r="AT216" s="8"/>
      <c r="AU216" s="8"/>
      <c r="AV216" s="8"/>
      <c r="AW216" s="8"/>
      <c r="AX216" s="8"/>
      <c r="AY216" s="8"/>
      <c r="AZ216" s="8"/>
      <c r="BA216" s="8"/>
      <c r="BB216" s="8"/>
      <c r="BC216" s="8"/>
      <c r="BD216" s="8"/>
      <c r="BE216" s="8"/>
      <c r="BF216" s="8"/>
      <c r="BG216" s="8"/>
      <c r="BH216" s="8"/>
      <c r="BI216" s="8"/>
    </row>
    <row r="217" spans="1:61" s="7" customFormat="1" ht="12.75" customHeight="1" x14ac:dyDescent="0.2">
      <c r="A217" s="118"/>
      <c r="B217" s="118"/>
      <c r="C217" s="118"/>
      <c r="D217" s="118"/>
      <c r="E217" s="118"/>
      <c r="F217" s="163"/>
      <c r="G217" s="163"/>
      <c r="H217" s="163"/>
      <c r="I217" s="163"/>
      <c r="J217" s="163"/>
      <c r="K217" s="163"/>
      <c r="L217" s="163"/>
      <c r="M217" s="168"/>
      <c r="N217" s="168"/>
      <c r="O217" s="305"/>
      <c r="P217" s="305"/>
      <c r="Q217" s="305"/>
      <c r="R217" s="305"/>
      <c r="S217" s="305"/>
      <c r="T217" s="305"/>
      <c r="U217" s="305"/>
      <c r="V217" s="305"/>
      <c r="W217" s="305"/>
      <c r="X217" s="305"/>
      <c r="Y217" s="90"/>
      <c r="Z217" s="91"/>
      <c r="AA217" s="1"/>
      <c r="AB217" s="1"/>
      <c r="AC217" s="1"/>
      <c r="AD217" s="1"/>
      <c r="AE217" s="1"/>
      <c r="AF217" s="1"/>
      <c r="AG217" s="1"/>
      <c r="AH217" s="1"/>
      <c r="AI217" s="9"/>
      <c r="AJ217" s="9"/>
      <c r="AK217" s="9"/>
      <c r="AL217" s="9"/>
      <c r="AM217" s="9"/>
      <c r="AN217" s="9"/>
      <c r="AO217" s="6"/>
      <c r="AP217" s="6"/>
      <c r="AQ217" s="6"/>
      <c r="AR217" s="8"/>
      <c r="AS217" s="8"/>
      <c r="AT217" s="8"/>
      <c r="AU217" s="8"/>
      <c r="AV217" s="8"/>
      <c r="AW217" s="8"/>
      <c r="AX217" s="8"/>
      <c r="AY217" s="8"/>
      <c r="AZ217" s="8"/>
      <c r="BA217" s="8"/>
      <c r="BB217" s="8"/>
      <c r="BC217" s="8"/>
      <c r="BD217" s="8"/>
      <c r="BE217" s="8"/>
      <c r="BF217" s="8"/>
      <c r="BG217" s="8"/>
      <c r="BH217" s="8"/>
      <c r="BI217" s="8"/>
    </row>
    <row r="218" spans="1:61" s="7" customFormat="1" ht="12.75" customHeight="1" x14ac:dyDescent="0.2">
      <c r="A218" s="118"/>
      <c r="B218" s="118"/>
      <c r="C218" s="118"/>
      <c r="D218" s="118"/>
      <c r="E218" s="118"/>
      <c r="F218" s="163"/>
      <c r="G218" s="163"/>
      <c r="H218" s="163"/>
      <c r="I218" s="163"/>
      <c r="J218" s="163"/>
      <c r="K218" s="163"/>
      <c r="L218" s="163"/>
      <c r="M218" s="168"/>
      <c r="N218" s="168"/>
      <c r="O218" s="305"/>
      <c r="P218" s="305"/>
      <c r="Q218" s="305"/>
      <c r="R218" s="305"/>
      <c r="S218" s="305"/>
      <c r="T218" s="305"/>
      <c r="U218" s="305"/>
      <c r="V218" s="305"/>
      <c r="W218" s="305"/>
      <c r="X218" s="305"/>
      <c r="Y218" s="90"/>
      <c r="Z218" s="91"/>
      <c r="AA218" s="1"/>
      <c r="AB218" s="1"/>
      <c r="AC218" s="1"/>
      <c r="AD218" s="1"/>
      <c r="AE218" s="1"/>
      <c r="AF218" s="1"/>
      <c r="AG218" s="1"/>
      <c r="AH218" s="1"/>
      <c r="AI218" s="9"/>
      <c r="AJ218" s="9"/>
      <c r="AK218" s="9"/>
      <c r="AL218" s="9"/>
      <c r="AM218" s="9"/>
      <c r="AN218" s="9"/>
      <c r="AO218" s="6"/>
      <c r="AP218" s="6"/>
      <c r="AQ218" s="6"/>
      <c r="AR218" s="8"/>
      <c r="AS218" s="8"/>
      <c r="AT218" s="8"/>
      <c r="AU218" s="8"/>
      <c r="AV218" s="8"/>
      <c r="AW218" s="8"/>
      <c r="AX218" s="8"/>
      <c r="AY218" s="8"/>
      <c r="AZ218" s="8"/>
      <c r="BA218" s="8"/>
      <c r="BB218" s="8"/>
      <c r="BC218" s="8"/>
      <c r="BD218" s="8"/>
      <c r="BE218" s="8"/>
      <c r="BF218" s="8"/>
      <c r="BG218" s="8"/>
      <c r="BH218" s="8"/>
      <c r="BI218" s="8"/>
    </row>
    <row r="219" spans="1:61" s="7" customFormat="1" ht="12.75" customHeight="1" x14ac:dyDescent="0.2">
      <c r="A219" s="118"/>
      <c r="B219" s="118"/>
      <c r="C219" s="118"/>
      <c r="D219" s="118"/>
      <c r="E219" s="118"/>
      <c r="F219" s="163"/>
      <c r="G219" s="163"/>
      <c r="H219" s="163"/>
      <c r="I219" s="163"/>
      <c r="J219" s="163"/>
      <c r="K219" s="163"/>
      <c r="L219" s="163"/>
      <c r="M219" s="168"/>
      <c r="N219" s="168"/>
      <c r="O219" s="305"/>
      <c r="P219" s="305"/>
      <c r="Q219" s="305"/>
      <c r="R219" s="305"/>
      <c r="S219" s="305"/>
      <c r="T219" s="305"/>
      <c r="U219" s="305"/>
      <c r="V219" s="305"/>
      <c r="W219" s="305"/>
      <c r="X219" s="305"/>
      <c r="Y219" s="90"/>
      <c r="Z219" s="91"/>
      <c r="AA219" s="1"/>
      <c r="AB219" s="1"/>
      <c r="AC219" s="1"/>
      <c r="AD219" s="1"/>
      <c r="AE219" s="1"/>
      <c r="AF219" s="1"/>
      <c r="AG219" s="1"/>
      <c r="AH219" s="1"/>
      <c r="AI219" s="9"/>
      <c r="AJ219" s="9"/>
      <c r="AK219" s="9"/>
      <c r="AL219" s="9"/>
      <c r="AM219" s="9"/>
      <c r="AN219" s="9"/>
      <c r="AO219" s="6"/>
      <c r="AP219" s="6"/>
      <c r="AQ219" s="6"/>
      <c r="AR219" s="8"/>
      <c r="AS219" s="8"/>
      <c r="AT219" s="8"/>
      <c r="AU219" s="8"/>
      <c r="AV219" s="8"/>
      <c r="AW219" s="8"/>
      <c r="AX219" s="8"/>
      <c r="AY219" s="8"/>
      <c r="AZ219" s="8"/>
      <c r="BA219" s="8"/>
      <c r="BB219" s="8"/>
      <c r="BC219" s="8"/>
      <c r="BD219" s="8"/>
      <c r="BE219" s="8"/>
      <c r="BF219" s="8"/>
      <c r="BG219" s="8"/>
      <c r="BH219" s="8"/>
      <c r="BI219" s="8"/>
    </row>
    <row r="220" spans="1:61" s="7" customFormat="1" ht="12.75" customHeight="1" x14ac:dyDescent="0.2">
      <c r="A220" s="118"/>
      <c r="B220" s="118"/>
      <c r="C220" s="118"/>
      <c r="D220" s="118"/>
      <c r="E220" s="118"/>
      <c r="F220" s="163"/>
      <c r="G220" s="163"/>
      <c r="H220" s="163"/>
      <c r="I220" s="163"/>
      <c r="J220" s="163"/>
      <c r="K220" s="163"/>
      <c r="L220" s="163"/>
      <c r="M220" s="168"/>
      <c r="N220" s="168"/>
      <c r="O220" s="305"/>
      <c r="P220" s="305"/>
      <c r="Q220" s="305"/>
      <c r="R220" s="305"/>
      <c r="S220" s="305"/>
      <c r="T220" s="305"/>
      <c r="U220" s="305"/>
      <c r="V220" s="305"/>
      <c r="W220" s="305"/>
      <c r="X220" s="305"/>
      <c r="Y220" s="90"/>
      <c r="Z220" s="91"/>
      <c r="AA220" s="1"/>
      <c r="AB220" s="1"/>
      <c r="AC220" s="1"/>
      <c r="AD220" s="1"/>
      <c r="AE220" s="1"/>
      <c r="AF220" s="1"/>
      <c r="AG220" s="1"/>
      <c r="AH220" s="1"/>
      <c r="AI220" s="9"/>
      <c r="AJ220" s="9"/>
      <c r="AK220" s="9"/>
      <c r="AL220" s="9"/>
      <c r="AM220" s="9"/>
      <c r="AN220" s="9"/>
      <c r="AO220" s="6"/>
      <c r="AP220" s="6"/>
      <c r="AQ220" s="6"/>
      <c r="AR220" s="8"/>
      <c r="AS220" s="8"/>
      <c r="AT220" s="8"/>
      <c r="AU220" s="8"/>
      <c r="AV220" s="8"/>
      <c r="AW220" s="8"/>
      <c r="AX220" s="8"/>
      <c r="AY220" s="8"/>
      <c r="AZ220" s="8"/>
      <c r="BA220" s="8"/>
      <c r="BB220" s="8"/>
      <c r="BC220" s="8"/>
      <c r="BD220" s="8"/>
      <c r="BE220" s="8"/>
      <c r="BF220" s="8"/>
      <c r="BG220" s="8"/>
      <c r="BH220" s="8"/>
      <c r="BI220" s="8"/>
    </row>
    <row r="221" spans="1:61" s="7" customFormat="1" ht="12.75" customHeight="1" x14ac:dyDescent="0.2">
      <c r="A221" s="118"/>
      <c r="B221" s="118"/>
      <c r="C221" s="118"/>
      <c r="D221" s="118"/>
      <c r="E221" s="118"/>
      <c r="F221" s="163"/>
      <c r="G221" s="163"/>
      <c r="H221" s="163"/>
      <c r="I221" s="163"/>
      <c r="J221" s="163"/>
      <c r="K221" s="163"/>
      <c r="L221" s="163"/>
      <c r="M221" s="168"/>
      <c r="N221" s="168"/>
      <c r="O221" s="305"/>
      <c r="P221" s="305"/>
      <c r="Q221" s="305"/>
      <c r="R221" s="305"/>
      <c r="S221" s="305"/>
      <c r="T221" s="305"/>
      <c r="U221" s="305"/>
      <c r="V221" s="305"/>
      <c r="W221" s="305"/>
      <c r="X221" s="305"/>
      <c r="Y221" s="90"/>
      <c r="Z221" s="91"/>
      <c r="AA221" s="1"/>
      <c r="AB221" s="1"/>
      <c r="AC221" s="1"/>
      <c r="AD221" s="1"/>
      <c r="AE221" s="1"/>
      <c r="AF221" s="1"/>
      <c r="AG221" s="1"/>
      <c r="AH221" s="1"/>
      <c r="AI221" s="9"/>
      <c r="AJ221" s="9"/>
      <c r="AK221" s="9"/>
      <c r="AL221" s="9"/>
      <c r="AM221" s="9"/>
      <c r="AN221" s="9"/>
      <c r="AO221" s="6"/>
      <c r="AP221" s="6"/>
      <c r="AQ221" s="6"/>
      <c r="AR221" s="8"/>
      <c r="AS221" s="8"/>
      <c r="AT221" s="8"/>
      <c r="AU221" s="8"/>
      <c r="AV221" s="8"/>
      <c r="AW221" s="8"/>
      <c r="AX221" s="8"/>
      <c r="AY221" s="8"/>
      <c r="AZ221" s="8"/>
      <c r="BA221" s="8"/>
      <c r="BB221" s="8"/>
      <c r="BC221" s="8"/>
      <c r="BD221" s="8"/>
      <c r="BE221" s="8"/>
      <c r="BF221" s="8"/>
      <c r="BG221" s="8"/>
      <c r="BH221" s="8"/>
      <c r="BI221" s="8"/>
    </row>
    <row r="222" spans="1:61" s="7" customFormat="1" ht="12.75" customHeight="1" x14ac:dyDescent="0.2">
      <c r="A222" s="118"/>
      <c r="B222" s="118"/>
      <c r="C222" s="118"/>
      <c r="D222" s="118"/>
      <c r="E222" s="118"/>
      <c r="F222" s="163"/>
      <c r="G222" s="163"/>
      <c r="H222" s="163"/>
      <c r="I222" s="163"/>
      <c r="J222" s="163"/>
      <c r="K222" s="163"/>
      <c r="L222" s="163"/>
      <c r="M222" s="168"/>
      <c r="N222" s="168"/>
      <c r="O222" s="305"/>
      <c r="P222" s="305"/>
      <c r="Q222" s="305"/>
      <c r="R222" s="305"/>
      <c r="S222" s="305"/>
      <c r="T222" s="305"/>
      <c r="U222" s="305"/>
      <c r="V222" s="305"/>
      <c r="W222" s="305"/>
      <c r="X222" s="305"/>
      <c r="Y222" s="90"/>
      <c r="Z222" s="91"/>
      <c r="AA222" s="1"/>
      <c r="AB222" s="1"/>
      <c r="AC222" s="1"/>
      <c r="AD222" s="1"/>
      <c r="AE222" s="1"/>
      <c r="AF222" s="1"/>
      <c r="AG222" s="1"/>
      <c r="AH222" s="1"/>
      <c r="AI222" s="9"/>
      <c r="AJ222" s="9"/>
      <c r="AK222" s="9"/>
      <c r="AL222" s="9"/>
      <c r="AM222" s="9"/>
      <c r="AN222" s="9"/>
      <c r="AO222" s="6"/>
      <c r="AP222" s="6"/>
      <c r="AQ222" s="6"/>
      <c r="AR222" s="8"/>
      <c r="AS222" s="8"/>
      <c r="AT222" s="8"/>
      <c r="AU222" s="8"/>
      <c r="AV222" s="8"/>
      <c r="AW222" s="8"/>
      <c r="AX222" s="8"/>
      <c r="AY222" s="8"/>
      <c r="AZ222" s="8"/>
      <c r="BA222" s="8"/>
      <c r="BB222" s="8"/>
      <c r="BC222" s="8"/>
      <c r="BD222" s="8"/>
      <c r="BE222" s="8"/>
      <c r="BF222" s="8"/>
      <c r="BG222" s="8"/>
      <c r="BH222" s="8"/>
      <c r="BI222" s="8"/>
    </row>
    <row r="223" spans="1:61" s="7" customFormat="1" ht="12.75" customHeight="1" x14ac:dyDescent="0.2">
      <c r="A223" s="118"/>
      <c r="B223" s="118"/>
      <c r="C223" s="118"/>
      <c r="D223" s="118"/>
      <c r="E223" s="118"/>
      <c r="F223" s="163"/>
      <c r="G223" s="163"/>
      <c r="H223" s="163"/>
      <c r="I223" s="163"/>
      <c r="J223" s="163"/>
      <c r="K223" s="163"/>
      <c r="L223" s="163"/>
      <c r="M223" s="163"/>
      <c r="N223" s="163"/>
      <c r="O223" s="305"/>
      <c r="P223" s="305"/>
      <c r="Q223" s="305"/>
      <c r="R223" s="305"/>
      <c r="S223" s="305"/>
      <c r="T223" s="305"/>
      <c r="U223" s="305"/>
      <c r="V223" s="305"/>
      <c r="W223" s="305"/>
      <c r="X223" s="305"/>
      <c r="Y223" s="90"/>
      <c r="Z223" s="91"/>
      <c r="AA223" s="318"/>
      <c r="AB223" s="318"/>
      <c r="AC223" s="318"/>
      <c r="AD223" s="318"/>
      <c r="AE223" s="318"/>
      <c r="AF223" s="318"/>
      <c r="AG223" s="318"/>
      <c r="AH223" s="318"/>
      <c r="AI223" s="9"/>
      <c r="AJ223" s="9"/>
      <c r="AK223" s="9"/>
      <c r="AL223" s="9"/>
      <c r="AM223" s="9"/>
      <c r="AN223" s="9"/>
      <c r="AO223" s="6"/>
      <c r="AP223" s="6"/>
      <c r="AQ223" s="6"/>
      <c r="AR223" s="8"/>
      <c r="AS223" s="8"/>
      <c r="AT223" s="8"/>
      <c r="AU223" s="8"/>
      <c r="AV223" s="8"/>
      <c r="AW223" s="8"/>
      <c r="AX223" s="8"/>
      <c r="AY223" s="8"/>
      <c r="AZ223" s="8"/>
      <c r="BA223" s="8"/>
      <c r="BB223" s="8"/>
      <c r="BC223" s="8"/>
      <c r="BD223" s="8"/>
      <c r="BE223" s="8"/>
      <c r="BF223" s="8"/>
      <c r="BG223" s="8"/>
      <c r="BH223" s="8"/>
      <c r="BI223" s="8"/>
    </row>
    <row r="224" spans="1:61" s="7" customFormat="1" ht="12.75" customHeight="1" x14ac:dyDescent="0.2">
      <c r="A224" s="118"/>
      <c r="B224" s="118"/>
      <c r="C224" s="118"/>
      <c r="D224" s="118"/>
      <c r="E224" s="118"/>
      <c r="F224" s="163"/>
      <c r="G224" s="163"/>
      <c r="H224" s="163"/>
      <c r="I224" s="163"/>
      <c r="J224" s="163"/>
      <c r="K224" s="163"/>
      <c r="L224" s="163"/>
      <c r="M224" s="163"/>
      <c r="N224" s="163"/>
      <c r="O224" s="305"/>
      <c r="P224" s="305"/>
      <c r="Q224" s="305"/>
      <c r="R224" s="305"/>
      <c r="S224" s="305"/>
      <c r="T224" s="305"/>
      <c r="U224" s="305"/>
      <c r="V224" s="305"/>
      <c r="W224" s="305"/>
      <c r="X224" s="305"/>
      <c r="Y224" s="90"/>
      <c r="Z224" s="91"/>
      <c r="AA224" s="1"/>
      <c r="AB224" s="1"/>
      <c r="AC224" s="1"/>
      <c r="AD224" s="1"/>
      <c r="AE224" s="1"/>
      <c r="AF224" s="1"/>
      <c r="AG224" s="1"/>
      <c r="AH224" s="1"/>
      <c r="AI224" s="9"/>
      <c r="AJ224" s="9"/>
      <c r="AK224" s="9"/>
      <c r="AL224" s="9"/>
      <c r="AM224" s="9"/>
      <c r="AN224" s="9"/>
      <c r="AO224" s="6"/>
      <c r="AP224" s="6"/>
      <c r="AQ224" s="6"/>
      <c r="AR224" s="8"/>
      <c r="AS224" s="8"/>
      <c r="AT224" s="8"/>
      <c r="AU224" s="8"/>
      <c r="AV224" s="8"/>
      <c r="AW224" s="8"/>
      <c r="AX224" s="8"/>
      <c r="AY224" s="8"/>
      <c r="AZ224" s="8"/>
      <c r="BA224" s="8"/>
      <c r="BB224" s="8"/>
      <c r="BC224" s="8"/>
      <c r="BD224" s="8"/>
      <c r="BE224" s="8"/>
      <c r="BF224" s="8"/>
      <c r="BG224" s="8"/>
      <c r="BH224" s="8"/>
      <c r="BI224" s="8"/>
    </row>
    <row r="225" spans="1:61" s="7" customFormat="1" ht="12.75" customHeight="1" x14ac:dyDescent="0.2">
      <c r="A225" s="118"/>
      <c r="B225" s="118"/>
      <c r="C225" s="118"/>
      <c r="D225" s="118"/>
      <c r="E225" s="118"/>
      <c r="F225" s="163"/>
      <c r="G225" s="163"/>
      <c r="H225" s="163"/>
      <c r="I225" s="163"/>
      <c r="J225" s="163"/>
      <c r="K225" s="163"/>
      <c r="L225" s="163"/>
      <c r="M225" s="163"/>
      <c r="N225" s="163"/>
      <c r="O225" s="305"/>
      <c r="P225" s="305"/>
      <c r="Q225" s="305"/>
      <c r="R225" s="305"/>
      <c r="S225" s="305"/>
      <c r="T225" s="305"/>
      <c r="U225" s="305"/>
      <c r="V225" s="305"/>
      <c r="W225" s="305"/>
      <c r="X225" s="305"/>
      <c r="Y225" s="90"/>
      <c r="Z225" s="91"/>
      <c r="AA225" s="1"/>
      <c r="AB225" s="1"/>
      <c r="AC225" s="1"/>
      <c r="AD225" s="1"/>
      <c r="AE225" s="1"/>
      <c r="AF225" s="1"/>
      <c r="AG225" s="1"/>
      <c r="AH225" s="1"/>
      <c r="AI225" s="9"/>
      <c r="AJ225" s="9"/>
      <c r="AK225" s="9"/>
      <c r="AL225" s="9"/>
      <c r="AM225" s="9"/>
      <c r="AN225" s="9"/>
      <c r="AO225" s="6"/>
      <c r="AP225" s="6"/>
      <c r="AQ225" s="6"/>
      <c r="AR225" s="8"/>
      <c r="AS225" s="8"/>
      <c r="AT225" s="8"/>
      <c r="AU225" s="8"/>
      <c r="AV225" s="8"/>
      <c r="AW225" s="8"/>
      <c r="AX225" s="8"/>
      <c r="AY225" s="8"/>
      <c r="AZ225" s="8"/>
      <c r="BA225" s="8"/>
      <c r="BB225" s="8"/>
      <c r="BC225" s="8"/>
      <c r="BD225" s="8"/>
      <c r="BE225" s="8"/>
      <c r="BF225" s="8"/>
      <c r="BG225" s="8"/>
      <c r="BH225" s="8"/>
      <c r="BI225" s="8"/>
    </row>
    <row r="226" spans="1:61" s="7" customFormat="1" ht="12.75" customHeight="1" x14ac:dyDescent="0.2">
      <c r="A226" s="118"/>
      <c r="B226" s="118"/>
      <c r="C226" s="118"/>
      <c r="D226" s="118"/>
      <c r="E226" s="118"/>
      <c r="F226" s="163"/>
      <c r="G226" s="163"/>
      <c r="H226" s="163"/>
      <c r="I226" s="163"/>
      <c r="J226" s="163"/>
      <c r="K226" s="163"/>
      <c r="L226" s="163"/>
      <c r="M226" s="163"/>
      <c r="N226" s="163"/>
      <c r="O226" s="305"/>
      <c r="P226" s="305"/>
      <c r="Q226" s="305"/>
      <c r="R226" s="305"/>
      <c r="S226" s="305"/>
      <c r="T226" s="305"/>
      <c r="U226" s="305"/>
      <c r="V226" s="305"/>
      <c r="W226" s="305"/>
      <c r="X226" s="305"/>
      <c r="Y226" s="90"/>
      <c r="Z226" s="91"/>
      <c r="AA226" s="1"/>
      <c r="AB226" s="1"/>
      <c r="AC226" s="1"/>
      <c r="AD226" s="1"/>
      <c r="AE226" s="1"/>
      <c r="AF226" s="1"/>
      <c r="AG226" s="1"/>
      <c r="AH226" s="1"/>
      <c r="AI226" s="9"/>
      <c r="AJ226" s="9"/>
      <c r="AK226" s="9"/>
      <c r="AL226" s="9"/>
      <c r="AM226" s="9"/>
      <c r="AN226" s="9"/>
      <c r="AO226" s="6"/>
      <c r="AP226" s="6"/>
      <c r="AQ226" s="6"/>
      <c r="AR226" s="8"/>
      <c r="AS226" s="8"/>
      <c r="AT226" s="8"/>
      <c r="AU226" s="8"/>
      <c r="AV226" s="8"/>
      <c r="AW226" s="8"/>
      <c r="AX226" s="8"/>
      <c r="AY226" s="8"/>
      <c r="AZ226" s="8"/>
      <c r="BA226" s="8"/>
      <c r="BB226" s="8"/>
      <c r="BC226" s="8"/>
      <c r="BD226" s="8"/>
      <c r="BE226" s="8"/>
      <c r="BF226" s="8"/>
      <c r="BG226" s="8"/>
      <c r="BH226" s="8"/>
      <c r="BI226" s="8"/>
    </row>
    <row r="227" spans="1:61" s="7" customFormat="1" ht="12.75" customHeight="1" x14ac:dyDescent="0.2">
      <c r="A227" s="118"/>
      <c r="B227" s="118"/>
      <c r="C227" s="118"/>
      <c r="D227" s="118"/>
      <c r="E227" s="118"/>
      <c r="F227" s="163"/>
      <c r="G227" s="163"/>
      <c r="H227" s="163"/>
      <c r="I227" s="163"/>
      <c r="J227" s="163"/>
      <c r="K227" s="163"/>
      <c r="L227" s="163"/>
      <c r="M227" s="163"/>
      <c r="N227" s="163"/>
      <c r="O227" s="305"/>
      <c r="P227" s="305"/>
      <c r="Q227" s="305"/>
      <c r="R227" s="305"/>
      <c r="S227" s="305"/>
      <c r="T227" s="305"/>
      <c r="U227" s="305"/>
      <c r="V227" s="305"/>
      <c r="W227" s="305"/>
      <c r="X227" s="305"/>
      <c r="Y227" s="90"/>
      <c r="Z227" s="91"/>
      <c r="AA227" s="1"/>
      <c r="AB227" s="1"/>
      <c r="AC227" s="1"/>
      <c r="AD227" s="1"/>
      <c r="AE227" s="1"/>
      <c r="AF227" s="1"/>
      <c r="AG227" s="1"/>
      <c r="AH227" s="1"/>
      <c r="AI227" s="9"/>
      <c r="AJ227" s="9"/>
      <c r="AK227" s="9"/>
      <c r="AL227" s="9"/>
      <c r="AM227" s="9"/>
      <c r="AN227" s="9"/>
      <c r="AO227" s="6"/>
      <c r="AP227" s="6"/>
      <c r="AQ227" s="6"/>
      <c r="AR227" s="8"/>
      <c r="AS227" s="8"/>
      <c r="AT227" s="8"/>
      <c r="AU227" s="8"/>
      <c r="AV227" s="8"/>
      <c r="AW227" s="8"/>
      <c r="AX227" s="8"/>
      <c r="AY227" s="8"/>
      <c r="AZ227" s="8"/>
      <c r="BA227" s="8"/>
      <c r="BB227" s="8"/>
      <c r="BC227" s="8"/>
      <c r="BD227" s="8"/>
      <c r="BE227" s="8"/>
      <c r="BF227" s="8"/>
      <c r="BG227" s="8"/>
      <c r="BH227" s="8"/>
      <c r="BI227" s="8"/>
    </row>
    <row r="228" spans="1:61" s="7" customFormat="1" ht="12.75" customHeight="1" x14ac:dyDescent="0.2">
      <c r="A228" s="118"/>
      <c r="B228" s="118"/>
      <c r="C228" s="118"/>
      <c r="D228" s="118"/>
      <c r="E228" s="118"/>
      <c r="F228" s="163"/>
      <c r="G228" s="163"/>
      <c r="H228" s="163"/>
      <c r="I228" s="163"/>
      <c r="J228" s="163"/>
      <c r="K228" s="163"/>
      <c r="L228" s="163"/>
      <c r="M228" s="163"/>
      <c r="N228" s="163"/>
      <c r="O228" s="305"/>
      <c r="P228" s="305"/>
      <c r="Q228" s="305"/>
      <c r="R228" s="305"/>
      <c r="S228" s="305"/>
      <c r="T228" s="305"/>
      <c r="U228" s="305"/>
      <c r="V228" s="305"/>
      <c r="W228" s="305"/>
      <c r="X228" s="305"/>
      <c r="Y228" s="90"/>
      <c r="Z228" s="91"/>
      <c r="AA228" s="1"/>
      <c r="AB228" s="1"/>
      <c r="AC228" s="1"/>
      <c r="AD228" s="1"/>
      <c r="AE228" s="1"/>
      <c r="AF228" s="1"/>
      <c r="AG228" s="1"/>
      <c r="AH228" s="1"/>
      <c r="AI228" s="9"/>
      <c r="AJ228" s="9"/>
      <c r="AK228" s="9"/>
      <c r="AL228" s="9"/>
      <c r="AM228" s="9"/>
      <c r="AN228" s="9"/>
      <c r="AO228" s="6"/>
      <c r="AP228" s="6"/>
      <c r="AQ228" s="6"/>
      <c r="AR228" s="8"/>
      <c r="AS228" s="8"/>
      <c r="AT228" s="8"/>
      <c r="AU228" s="8"/>
      <c r="AV228" s="8"/>
      <c r="AW228" s="8"/>
      <c r="AX228" s="8"/>
      <c r="AY228" s="8"/>
      <c r="AZ228" s="8"/>
      <c r="BA228" s="8"/>
      <c r="BB228" s="8"/>
      <c r="BC228" s="8"/>
      <c r="BD228" s="8"/>
      <c r="BE228" s="8"/>
      <c r="BF228" s="8"/>
      <c r="BG228" s="8"/>
      <c r="BH228" s="8"/>
      <c r="BI228" s="8"/>
    </row>
    <row r="229" spans="1:61" s="7" customFormat="1" ht="12.75" customHeight="1" x14ac:dyDescent="0.2">
      <c r="A229" s="118"/>
      <c r="B229" s="118"/>
      <c r="C229" s="118"/>
      <c r="D229" s="118"/>
      <c r="E229" s="118"/>
      <c r="F229" s="163"/>
      <c r="G229" s="163"/>
      <c r="H229" s="163"/>
      <c r="I229" s="163"/>
      <c r="J229" s="163"/>
      <c r="K229" s="163"/>
      <c r="L229" s="163"/>
      <c r="M229" s="163"/>
      <c r="N229" s="163"/>
      <c r="O229" s="305"/>
      <c r="P229" s="305"/>
      <c r="Q229" s="305"/>
      <c r="R229" s="305"/>
      <c r="S229" s="305"/>
      <c r="T229" s="305"/>
      <c r="U229" s="305"/>
      <c r="V229" s="305"/>
      <c r="W229" s="305"/>
      <c r="X229" s="305"/>
      <c r="Y229" s="90"/>
      <c r="Z229" s="91"/>
      <c r="AA229" s="1"/>
      <c r="AB229" s="1"/>
      <c r="AC229" s="1"/>
      <c r="AD229" s="1"/>
      <c r="AE229" s="1"/>
      <c r="AF229" s="1"/>
      <c r="AG229" s="1"/>
      <c r="AH229" s="1"/>
      <c r="AI229" s="9"/>
      <c r="AJ229" s="9"/>
      <c r="AK229" s="9"/>
      <c r="AL229" s="9"/>
      <c r="AM229" s="9"/>
      <c r="AN229" s="9"/>
      <c r="AO229" s="6"/>
      <c r="AP229" s="6"/>
      <c r="AQ229" s="6"/>
      <c r="AR229" s="8"/>
      <c r="AS229" s="8"/>
      <c r="AT229" s="8"/>
      <c r="AU229" s="8"/>
      <c r="AV229" s="8"/>
      <c r="AW229" s="8"/>
      <c r="AX229" s="8"/>
      <c r="AY229" s="8"/>
      <c r="AZ229" s="8"/>
      <c r="BA229" s="8"/>
      <c r="BB229" s="8"/>
      <c r="BC229" s="8"/>
      <c r="BD229" s="8"/>
      <c r="BE229" s="8"/>
      <c r="BF229" s="8"/>
      <c r="BG229" s="8"/>
      <c r="BH229" s="8"/>
      <c r="BI229" s="8"/>
    </row>
    <row r="230" spans="1:61" s="7" customFormat="1" ht="12.75" customHeight="1" x14ac:dyDescent="0.2">
      <c r="A230" s="118"/>
      <c r="B230" s="118"/>
      <c r="C230" s="118"/>
      <c r="D230" s="118"/>
      <c r="E230" s="118"/>
      <c r="F230" s="163"/>
      <c r="G230" s="163"/>
      <c r="H230" s="163"/>
      <c r="I230" s="163"/>
      <c r="J230" s="163"/>
      <c r="K230" s="163"/>
      <c r="L230" s="163"/>
      <c r="M230" s="163"/>
      <c r="N230" s="163"/>
      <c r="O230" s="305"/>
      <c r="P230" s="305"/>
      <c r="Q230" s="305"/>
      <c r="R230" s="305"/>
      <c r="S230" s="305"/>
      <c r="T230" s="305"/>
      <c r="U230" s="305"/>
      <c r="V230" s="305"/>
      <c r="W230" s="305"/>
      <c r="X230" s="305"/>
      <c r="Y230" s="90"/>
      <c r="Z230" s="91"/>
      <c r="AA230" s="1"/>
      <c r="AB230" s="1"/>
      <c r="AC230" s="1"/>
      <c r="AD230" s="1"/>
      <c r="AE230" s="1"/>
      <c r="AF230" s="1"/>
      <c r="AG230" s="1"/>
      <c r="AH230" s="1"/>
      <c r="AI230" s="9"/>
      <c r="AJ230" s="9"/>
      <c r="AK230" s="9"/>
      <c r="AL230" s="9"/>
      <c r="AM230" s="9"/>
      <c r="AN230" s="9"/>
      <c r="AO230" s="6"/>
      <c r="AP230" s="6"/>
      <c r="AQ230" s="6"/>
      <c r="AR230" s="8"/>
      <c r="AS230" s="8"/>
      <c r="AT230" s="8"/>
      <c r="AU230" s="8"/>
      <c r="AV230" s="8"/>
      <c r="AW230" s="8"/>
      <c r="AX230" s="8"/>
      <c r="AY230" s="8"/>
      <c r="AZ230" s="8"/>
      <c r="BA230" s="8"/>
      <c r="BB230" s="8"/>
      <c r="BC230" s="8"/>
      <c r="BD230" s="8"/>
      <c r="BE230" s="8"/>
      <c r="BF230" s="8"/>
      <c r="BG230" s="8"/>
      <c r="BH230" s="8"/>
      <c r="BI230" s="8"/>
    </row>
    <row r="231" spans="1:61" s="7" customFormat="1" ht="12.75" customHeight="1" x14ac:dyDescent="0.2">
      <c r="A231" s="118"/>
      <c r="B231" s="118"/>
      <c r="C231" s="118"/>
      <c r="D231" s="118"/>
      <c r="E231" s="118"/>
      <c r="F231" s="163"/>
      <c r="G231" s="163"/>
      <c r="H231" s="163"/>
      <c r="I231" s="163"/>
      <c r="J231" s="163"/>
      <c r="K231" s="163"/>
      <c r="L231" s="163"/>
      <c r="M231" s="163"/>
      <c r="N231" s="163"/>
      <c r="O231" s="305"/>
      <c r="P231" s="305"/>
      <c r="Q231" s="305"/>
      <c r="R231" s="305"/>
      <c r="S231" s="305"/>
      <c r="T231" s="305"/>
      <c r="U231" s="305"/>
      <c r="V231" s="305"/>
      <c r="W231" s="305"/>
      <c r="X231" s="305"/>
      <c r="Y231" s="90"/>
      <c r="Z231" s="91"/>
      <c r="AA231" s="1"/>
      <c r="AB231" s="1"/>
      <c r="AC231" s="1"/>
      <c r="AD231" s="1"/>
      <c r="AE231" s="1"/>
      <c r="AF231" s="1"/>
      <c r="AG231" s="1"/>
      <c r="AH231" s="1"/>
      <c r="AI231" s="9"/>
      <c r="AJ231" s="9"/>
      <c r="AK231" s="9"/>
      <c r="AL231" s="9"/>
      <c r="AM231" s="9"/>
      <c r="AN231" s="9"/>
      <c r="AO231" s="6"/>
      <c r="AP231" s="6"/>
      <c r="AQ231" s="6"/>
      <c r="AR231" s="8"/>
      <c r="AS231" s="8"/>
      <c r="AT231" s="8"/>
      <c r="AU231" s="8"/>
      <c r="AV231" s="8"/>
      <c r="AW231" s="8"/>
      <c r="AX231" s="8"/>
      <c r="AY231" s="8"/>
      <c r="AZ231" s="8"/>
      <c r="BA231" s="8"/>
      <c r="BB231" s="8"/>
      <c r="BC231" s="8"/>
      <c r="BD231" s="8"/>
      <c r="BE231" s="8"/>
      <c r="BF231" s="8"/>
      <c r="BG231" s="8"/>
      <c r="BH231" s="8"/>
      <c r="BI231" s="8"/>
    </row>
    <row r="232" spans="1:61" s="7" customFormat="1" ht="12.75" customHeight="1" x14ac:dyDescent="0.2">
      <c r="A232" s="118"/>
      <c r="B232" s="118"/>
      <c r="C232" s="118"/>
      <c r="D232" s="118"/>
      <c r="E232" s="118"/>
      <c r="F232" s="163"/>
      <c r="G232" s="163"/>
      <c r="H232" s="163"/>
      <c r="I232" s="163"/>
      <c r="J232" s="163"/>
      <c r="K232" s="163"/>
      <c r="L232" s="163"/>
      <c r="M232" s="163"/>
      <c r="N232" s="163"/>
      <c r="O232" s="305"/>
      <c r="P232" s="305"/>
      <c r="Q232" s="305"/>
      <c r="R232" s="305"/>
      <c r="S232" s="305"/>
      <c r="T232" s="305"/>
      <c r="U232" s="305"/>
      <c r="V232" s="305"/>
      <c r="W232" s="305"/>
      <c r="X232" s="305"/>
      <c r="Y232" s="90"/>
      <c r="Z232" s="91"/>
      <c r="AA232" s="1"/>
      <c r="AB232" s="1"/>
      <c r="AC232" s="1"/>
      <c r="AD232" s="1"/>
      <c r="AE232" s="1"/>
      <c r="AF232" s="1"/>
      <c r="AG232" s="1"/>
      <c r="AH232" s="1"/>
      <c r="AI232" s="9"/>
      <c r="AJ232" s="9"/>
      <c r="AK232" s="9"/>
      <c r="AL232" s="9"/>
      <c r="AM232" s="9"/>
      <c r="AN232" s="9"/>
      <c r="AO232" s="6"/>
      <c r="AP232" s="6"/>
      <c r="AQ232" s="6"/>
      <c r="AR232" s="8"/>
      <c r="AS232" s="8"/>
      <c r="AT232" s="8"/>
      <c r="AU232" s="8"/>
      <c r="AV232" s="8"/>
      <c r="AW232" s="8"/>
      <c r="AX232" s="8"/>
      <c r="AY232" s="8"/>
      <c r="AZ232" s="8"/>
      <c r="BA232" s="8"/>
      <c r="BB232" s="8"/>
      <c r="BC232" s="8"/>
      <c r="BD232" s="8"/>
      <c r="BE232" s="8"/>
      <c r="BF232" s="8"/>
      <c r="BG232" s="8"/>
      <c r="BH232" s="8"/>
      <c r="BI232" s="8"/>
    </row>
    <row r="233" spans="1:61" s="7" customFormat="1" ht="12.75" customHeight="1" x14ac:dyDescent="0.2">
      <c r="A233" s="118"/>
      <c r="B233" s="118"/>
      <c r="C233" s="118"/>
      <c r="D233" s="118"/>
      <c r="E233" s="118"/>
      <c r="F233" s="163"/>
      <c r="G233" s="163"/>
      <c r="H233" s="163"/>
      <c r="I233" s="163"/>
      <c r="J233" s="163"/>
      <c r="K233" s="163"/>
      <c r="L233" s="163"/>
      <c r="M233" s="163"/>
      <c r="N233" s="163"/>
      <c r="O233" s="305"/>
      <c r="P233" s="305"/>
      <c r="Q233" s="305"/>
      <c r="R233" s="305"/>
      <c r="S233" s="305"/>
      <c r="T233" s="305"/>
      <c r="U233" s="305"/>
      <c r="V233" s="305"/>
      <c r="W233" s="305"/>
      <c r="X233" s="305"/>
      <c r="Y233" s="90"/>
      <c r="Z233" s="91"/>
      <c r="AA233" s="1"/>
      <c r="AB233" s="1"/>
      <c r="AC233" s="1"/>
      <c r="AD233" s="1"/>
      <c r="AE233" s="1"/>
      <c r="AF233" s="1"/>
      <c r="AG233" s="1"/>
      <c r="AH233" s="1"/>
      <c r="AI233" s="9"/>
      <c r="AJ233" s="9"/>
      <c r="AK233" s="9"/>
      <c r="AL233" s="9"/>
      <c r="AM233" s="9"/>
      <c r="AN233" s="9"/>
      <c r="AO233" s="6"/>
      <c r="AP233" s="6"/>
      <c r="AQ233" s="6"/>
      <c r="AR233" s="8"/>
      <c r="AS233" s="8"/>
      <c r="AT233" s="8"/>
      <c r="AU233" s="8"/>
      <c r="AV233" s="8"/>
      <c r="AW233" s="8"/>
      <c r="AX233" s="8"/>
      <c r="AY233" s="8"/>
      <c r="AZ233" s="8"/>
      <c r="BA233" s="8"/>
      <c r="BB233" s="8"/>
      <c r="BC233" s="8"/>
      <c r="BD233" s="8"/>
      <c r="BE233" s="8"/>
      <c r="BF233" s="8"/>
      <c r="BG233" s="8"/>
      <c r="BH233" s="8"/>
      <c r="BI233" s="8"/>
    </row>
    <row r="234" spans="1:61" s="7" customFormat="1" ht="12.75" customHeight="1" x14ac:dyDescent="0.2">
      <c r="A234" s="118"/>
      <c r="B234" s="118"/>
      <c r="C234" s="118"/>
      <c r="D234" s="118"/>
      <c r="E234" s="118"/>
      <c r="F234" s="163"/>
      <c r="G234" s="163"/>
      <c r="H234" s="163"/>
      <c r="I234" s="163"/>
      <c r="J234" s="163"/>
      <c r="K234" s="163"/>
      <c r="L234" s="163"/>
      <c r="M234" s="163"/>
      <c r="N234" s="163"/>
      <c r="O234" s="305"/>
      <c r="P234" s="305"/>
      <c r="Q234" s="305"/>
      <c r="R234" s="305"/>
      <c r="S234" s="305"/>
      <c r="T234" s="305"/>
      <c r="U234" s="305"/>
      <c r="V234" s="305"/>
      <c r="W234" s="305"/>
      <c r="X234" s="305"/>
      <c r="Y234" s="76"/>
      <c r="Z234" s="86"/>
      <c r="AA234" s="1"/>
      <c r="AB234" s="1"/>
      <c r="AC234" s="1"/>
      <c r="AD234" s="1"/>
      <c r="AE234" s="1"/>
      <c r="AF234" s="1"/>
      <c r="AG234" s="1"/>
      <c r="AH234" s="1"/>
      <c r="AI234" s="9"/>
      <c r="AJ234" s="9"/>
      <c r="AK234" s="9"/>
      <c r="AL234" s="9"/>
      <c r="AM234" s="9"/>
      <c r="AN234" s="9"/>
      <c r="AO234" s="6"/>
      <c r="AP234" s="6"/>
      <c r="AQ234" s="6"/>
      <c r="AR234" s="8"/>
      <c r="AS234" s="8"/>
      <c r="AT234" s="8"/>
      <c r="AU234" s="8"/>
      <c r="AV234" s="8"/>
      <c r="AW234" s="8"/>
      <c r="AX234" s="8"/>
      <c r="AY234" s="8"/>
      <c r="AZ234" s="8"/>
      <c r="BA234" s="8"/>
      <c r="BB234" s="8"/>
      <c r="BC234" s="8"/>
      <c r="BD234" s="8"/>
      <c r="BE234" s="8"/>
      <c r="BF234" s="8"/>
      <c r="BG234" s="8"/>
      <c r="BH234" s="8"/>
      <c r="BI234" s="8"/>
    </row>
    <row r="235" spans="1:61" s="7" customFormat="1" ht="12.75" customHeight="1" x14ac:dyDescent="0.2">
      <c r="A235" s="118"/>
      <c r="B235" s="118"/>
      <c r="C235" s="118"/>
      <c r="D235" s="118"/>
      <c r="E235" s="118"/>
      <c r="F235" s="163"/>
      <c r="G235" s="163"/>
      <c r="H235" s="163"/>
      <c r="I235" s="163"/>
      <c r="J235" s="163"/>
      <c r="K235" s="163"/>
      <c r="L235" s="163"/>
      <c r="M235" s="163"/>
      <c r="N235" s="163"/>
      <c r="O235" s="305"/>
      <c r="P235" s="305"/>
      <c r="Q235" s="305"/>
      <c r="R235" s="305"/>
      <c r="S235" s="305"/>
      <c r="T235" s="305"/>
      <c r="U235" s="305"/>
      <c r="V235" s="305"/>
      <c r="W235" s="305"/>
      <c r="X235" s="305"/>
      <c r="Y235" s="76"/>
      <c r="Z235" s="86"/>
      <c r="AA235" s="1"/>
      <c r="AB235" s="1"/>
      <c r="AC235" s="1"/>
      <c r="AD235" s="1"/>
      <c r="AE235" s="1"/>
      <c r="AF235" s="1"/>
      <c r="AG235" s="1"/>
      <c r="AH235" s="1"/>
      <c r="AI235" s="9"/>
      <c r="AJ235" s="9"/>
      <c r="AK235" s="9"/>
      <c r="AL235" s="9"/>
      <c r="AM235" s="9"/>
      <c r="AN235" s="9"/>
      <c r="AO235" s="6"/>
      <c r="AP235" s="6"/>
      <c r="AQ235" s="6"/>
      <c r="AR235" s="8"/>
      <c r="AS235" s="8"/>
      <c r="AT235" s="8"/>
      <c r="AU235" s="8"/>
      <c r="AV235" s="8"/>
      <c r="AW235" s="8"/>
      <c r="AX235" s="8"/>
      <c r="AY235" s="8"/>
      <c r="AZ235" s="8"/>
      <c r="BA235" s="8"/>
      <c r="BB235" s="8"/>
      <c r="BC235" s="8"/>
      <c r="BD235" s="8"/>
      <c r="BE235" s="8"/>
      <c r="BF235" s="8"/>
      <c r="BG235" s="8"/>
      <c r="BH235" s="8"/>
      <c r="BI235" s="8"/>
    </row>
    <row r="236" spans="1:61" s="7" customFormat="1" ht="12.75" customHeight="1" x14ac:dyDescent="0.2">
      <c r="A236" s="118"/>
      <c r="B236" s="118"/>
      <c r="C236" s="118"/>
      <c r="D236" s="118"/>
      <c r="E236" s="118"/>
      <c r="F236" s="163"/>
      <c r="G236" s="163"/>
      <c r="H236" s="163"/>
      <c r="I236" s="163"/>
      <c r="J236" s="163"/>
      <c r="K236" s="163"/>
      <c r="L236" s="163"/>
      <c r="M236" s="163"/>
      <c r="N236" s="163"/>
      <c r="O236" s="305"/>
      <c r="P236" s="305"/>
      <c r="Q236" s="305"/>
      <c r="R236" s="305"/>
      <c r="S236" s="305"/>
      <c r="T236" s="305"/>
      <c r="U236" s="305"/>
      <c r="V236" s="305"/>
      <c r="W236" s="305"/>
      <c r="X236" s="305"/>
      <c r="Y236" s="76"/>
      <c r="Z236" s="86"/>
      <c r="AA236" s="1"/>
      <c r="AB236" s="1"/>
      <c r="AC236" s="1"/>
      <c r="AD236" s="1"/>
      <c r="AE236" s="1"/>
      <c r="AF236" s="1"/>
      <c r="AG236" s="1"/>
      <c r="AH236" s="1"/>
      <c r="AI236" s="9"/>
      <c r="AJ236" s="9"/>
      <c r="AK236" s="9"/>
      <c r="AL236" s="9"/>
      <c r="AM236" s="9"/>
      <c r="AN236" s="9"/>
      <c r="AO236" s="6"/>
      <c r="AP236" s="6"/>
      <c r="AQ236" s="6"/>
      <c r="AR236" s="8"/>
      <c r="AS236" s="8"/>
      <c r="AT236" s="8"/>
      <c r="AU236" s="8"/>
      <c r="AV236" s="8"/>
      <c r="AW236" s="8"/>
      <c r="AX236" s="8"/>
      <c r="AY236" s="8"/>
      <c r="AZ236" s="8"/>
      <c r="BA236" s="8"/>
      <c r="BB236" s="8"/>
      <c r="BC236" s="8"/>
      <c r="BD236" s="8"/>
      <c r="BE236" s="8"/>
      <c r="BF236" s="8"/>
      <c r="BG236" s="8"/>
      <c r="BH236" s="8"/>
      <c r="BI236" s="8"/>
    </row>
    <row r="237" spans="1:61" s="7" customFormat="1" ht="12.75" customHeight="1" x14ac:dyDescent="0.2">
      <c r="A237" s="118"/>
      <c r="B237" s="118"/>
      <c r="C237" s="118"/>
      <c r="D237" s="118"/>
      <c r="E237" s="118"/>
      <c r="F237" s="163"/>
      <c r="G237" s="163"/>
      <c r="H237" s="163"/>
      <c r="I237" s="163"/>
      <c r="J237" s="163"/>
      <c r="K237" s="163"/>
      <c r="L237" s="163"/>
      <c r="M237" s="163"/>
      <c r="N237" s="163"/>
      <c r="O237" s="305"/>
      <c r="P237" s="305"/>
      <c r="Q237" s="305"/>
      <c r="R237" s="305"/>
      <c r="S237" s="305"/>
      <c r="T237" s="305"/>
      <c r="U237" s="305"/>
      <c r="V237" s="305"/>
      <c r="W237" s="305"/>
      <c r="X237" s="305"/>
      <c r="Y237" s="76"/>
      <c r="Z237" s="86"/>
      <c r="AA237" s="1"/>
      <c r="AB237" s="1"/>
      <c r="AC237" s="1"/>
      <c r="AD237" s="1"/>
      <c r="AE237" s="1"/>
      <c r="AF237" s="1"/>
      <c r="AG237" s="1"/>
      <c r="AH237" s="1"/>
      <c r="AI237" s="9"/>
      <c r="AJ237" s="9"/>
      <c r="AK237" s="9"/>
      <c r="AL237" s="9"/>
      <c r="AM237" s="9"/>
      <c r="AN237" s="9"/>
      <c r="AO237" s="6"/>
      <c r="AP237" s="6"/>
      <c r="AQ237" s="6"/>
      <c r="AR237" s="8"/>
      <c r="AS237" s="8"/>
      <c r="AT237" s="8"/>
      <c r="AU237" s="8"/>
      <c r="AV237" s="8"/>
      <c r="AW237" s="8"/>
      <c r="AX237" s="8"/>
      <c r="AY237" s="8"/>
      <c r="AZ237" s="8"/>
      <c r="BA237" s="8"/>
      <c r="BB237" s="8"/>
      <c r="BC237" s="8"/>
      <c r="BD237" s="8"/>
      <c r="BE237" s="8"/>
      <c r="BF237" s="8"/>
      <c r="BG237" s="8"/>
      <c r="BH237" s="8"/>
      <c r="BI237" s="8"/>
    </row>
    <row r="238" spans="1:61" s="7" customFormat="1" ht="20.25" customHeight="1" x14ac:dyDescent="0.2">
      <c r="A238" s="118"/>
      <c r="B238" s="118"/>
      <c r="C238" s="118"/>
      <c r="D238" s="118"/>
      <c r="E238" s="118"/>
      <c r="F238" s="163"/>
      <c r="G238" s="163"/>
      <c r="H238" s="163"/>
      <c r="I238" s="163"/>
      <c r="J238" s="163"/>
      <c r="K238" s="163"/>
      <c r="L238" s="163"/>
      <c r="M238" s="163"/>
      <c r="N238" s="163"/>
      <c r="O238" s="305"/>
      <c r="P238" s="305"/>
      <c r="Q238" s="305"/>
      <c r="R238" s="305"/>
      <c r="S238" s="305"/>
      <c r="T238" s="305"/>
      <c r="U238" s="305"/>
      <c r="V238" s="305"/>
      <c r="W238" s="305"/>
      <c r="X238" s="305"/>
      <c r="Y238" s="76"/>
      <c r="Z238" s="86"/>
      <c r="AA238" s="1"/>
      <c r="AB238" s="1"/>
      <c r="AC238" s="1"/>
      <c r="AD238" s="1"/>
      <c r="AE238" s="1"/>
      <c r="AF238" s="1"/>
      <c r="AG238" s="1"/>
      <c r="AH238" s="1"/>
      <c r="AI238" s="9"/>
      <c r="AJ238" s="9"/>
      <c r="AK238" s="9"/>
      <c r="AL238" s="9"/>
      <c r="AM238" s="9"/>
      <c r="AN238" s="9"/>
      <c r="AO238" s="6"/>
      <c r="AP238" s="6"/>
      <c r="AQ238" s="6"/>
      <c r="AR238" s="8"/>
      <c r="AS238" s="8"/>
      <c r="AT238" s="8"/>
      <c r="AU238" s="8"/>
      <c r="AV238" s="8"/>
      <c r="AW238" s="8"/>
      <c r="AX238" s="8"/>
      <c r="AY238" s="8"/>
      <c r="AZ238" s="8"/>
      <c r="BA238" s="8"/>
      <c r="BB238" s="8"/>
      <c r="BC238" s="8"/>
      <c r="BD238" s="8"/>
      <c r="BE238" s="8"/>
      <c r="BF238" s="8"/>
      <c r="BG238" s="8"/>
      <c r="BH238" s="8"/>
      <c r="BI238" s="8"/>
    </row>
    <row r="239" spans="1:61" s="7" customFormat="1" ht="20.25" customHeight="1" x14ac:dyDescent="0.2">
      <c r="A239" s="118"/>
      <c r="B239" s="118"/>
      <c r="C239" s="118"/>
      <c r="D239" s="118"/>
      <c r="E239" s="118"/>
      <c r="F239" s="163"/>
      <c r="G239" s="163"/>
      <c r="H239" s="163"/>
      <c r="I239" s="163"/>
      <c r="J239" s="163"/>
      <c r="K239" s="163"/>
      <c r="L239" s="163"/>
      <c r="M239" s="163"/>
      <c r="N239" s="163"/>
      <c r="O239" s="306" t="str">
        <f>IF(OR(W212="No",W212="", W212="Select"), "", IF(G376&gt;9,"For more suggestions on how to reduce your budget expenses, click the tab at the bottom of this spreadsheet titled 'More'.",""))</f>
        <v/>
      </c>
      <c r="P239" s="306"/>
      <c r="Q239" s="306"/>
      <c r="R239" s="306"/>
      <c r="S239" s="306"/>
      <c r="T239" s="306"/>
      <c r="U239" s="306"/>
      <c r="V239" s="306"/>
      <c r="W239" s="306"/>
      <c r="X239" s="306"/>
      <c r="Y239" s="76"/>
      <c r="Z239" s="86"/>
      <c r="AA239" s="1"/>
      <c r="AB239" s="1"/>
      <c r="AC239" s="1"/>
      <c r="AD239" s="1"/>
      <c r="AE239" s="1"/>
      <c r="AF239" s="1"/>
      <c r="AG239" s="1"/>
      <c r="AH239" s="1"/>
      <c r="AI239" s="9"/>
      <c r="AJ239" s="9"/>
      <c r="AK239" s="9"/>
      <c r="AL239" s="9"/>
      <c r="AM239" s="9"/>
      <c r="AN239" s="9"/>
      <c r="AO239" s="6"/>
      <c r="AP239" s="6"/>
      <c r="AQ239" s="6"/>
      <c r="AR239" s="8"/>
      <c r="AS239" s="8"/>
      <c r="AT239" s="8"/>
      <c r="AU239" s="8"/>
      <c r="AV239" s="8"/>
      <c r="AW239" s="8"/>
      <c r="AX239" s="8"/>
      <c r="AY239" s="8"/>
      <c r="AZ239" s="8"/>
      <c r="BA239" s="8"/>
      <c r="BB239" s="8"/>
      <c r="BC239" s="8"/>
      <c r="BD239" s="8"/>
      <c r="BE239" s="8"/>
      <c r="BF239" s="8"/>
      <c r="BG239" s="8"/>
      <c r="BH239" s="8"/>
      <c r="BI239" s="8"/>
    </row>
    <row r="240" spans="1:61" s="7" customFormat="1" ht="25.5" customHeight="1" x14ac:dyDescent="0.2">
      <c r="A240" s="118"/>
      <c r="B240" s="118"/>
      <c r="C240" s="118"/>
      <c r="D240" s="118"/>
      <c r="E240" s="118"/>
      <c r="F240" s="163"/>
      <c r="G240" s="163"/>
      <c r="H240" s="163"/>
      <c r="I240" s="163"/>
      <c r="J240" s="163"/>
      <c r="K240" s="163"/>
      <c r="L240" s="163"/>
      <c r="M240" s="163"/>
      <c r="N240" s="163"/>
      <c r="O240" s="310" t="s">
        <v>18</v>
      </c>
      <c r="P240" s="310"/>
      <c r="Q240" s="310"/>
      <c r="R240" s="310"/>
      <c r="S240" s="310"/>
      <c r="T240" s="310"/>
      <c r="U240" s="310"/>
      <c r="V240" s="310"/>
      <c r="W240" s="310"/>
      <c r="X240" s="310"/>
      <c r="Y240" s="76"/>
      <c r="Z240" s="86"/>
      <c r="AA240" s="315"/>
      <c r="AB240" s="315"/>
      <c r="AC240" s="315"/>
      <c r="AD240" s="315"/>
      <c r="AE240" s="315"/>
      <c r="AF240" s="315"/>
      <c r="AG240" s="315"/>
      <c r="AH240" s="315"/>
      <c r="AI240" s="9"/>
      <c r="AJ240" s="9"/>
      <c r="AK240" s="9"/>
      <c r="AL240" s="9"/>
      <c r="AM240" s="9"/>
      <c r="AN240" s="9"/>
      <c r="AO240" s="6"/>
      <c r="AP240" s="6"/>
      <c r="AQ240" s="6"/>
      <c r="AR240" s="8"/>
      <c r="AS240" s="8"/>
      <c r="AT240" s="8"/>
      <c r="AU240" s="8"/>
      <c r="AV240" s="8"/>
      <c r="AW240" s="8"/>
      <c r="AX240" s="8"/>
      <c r="AY240" s="8"/>
      <c r="AZ240" s="8"/>
      <c r="BA240" s="8"/>
      <c r="BB240" s="8"/>
      <c r="BC240" s="8"/>
      <c r="BD240" s="8"/>
      <c r="BE240" s="8"/>
      <c r="BF240" s="8"/>
      <c r="BG240" s="8"/>
      <c r="BH240" s="8"/>
      <c r="BI240" s="8"/>
    </row>
    <row r="241" spans="1:61" s="7" customFormat="1" x14ac:dyDescent="0.2">
      <c r="A241" s="118"/>
      <c r="B241" s="118"/>
      <c r="C241" s="118"/>
      <c r="D241" s="118"/>
      <c r="E241" s="118"/>
      <c r="F241" s="163"/>
      <c r="G241" s="163"/>
      <c r="H241" s="163"/>
      <c r="I241" s="163"/>
      <c r="J241" s="163"/>
      <c r="K241" s="163"/>
      <c r="L241" s="163"/>
      <c r="M241" s="163"/>
      <c r="N241" s="163"/>
      <c r="O241" s="56"/>
      <c r="P241" s="56"/>
      <c r="Q241" s="56"/>
      <c r="R241" s="56"/>
      <c r="S241" s="56"/>
      <c r="T241" s="56"/>
      <c r="U241" s="56"/>
      <c r="V241" s="56"/>
      <c r="W241" s="56"/>
      <c r="X241" s="56"/>
      <c r="Y241" s="76"/>
      <c r="Z241" s="76"/>
      <c r="AA241" s="1"/>
      <c r="AB241" s="1"/>
      <c r="AC241" s="1"/>
      <c r="AD241" s="1"/>
      <c r="AE241" s="1"/>
      <c r="AF241" s="1"/>
      <c r="AG241" s="1"/>
      <c r="AH241" s="1"/>
      <c r="AI241" s="9"/>
      <c r="AJ241" s="9"/>
      <c r="AK241" s="9"/>
      <c r="AL241" s="9"/>
      <c r="AM241" s="9"/>
      <c r="AN241" s="9"/>
      <c r="AO241" s="6"/>
      <c r="AP241" s="6"/>
      <c r="AQ241" s="6"/>
      <c r="AR241" s="8"/>
      <c r="AS241" s="8"/>
      <c r="AT241" s="8"/>
      <c r="AU241" s="8"/>
      <c r="AV241" s="8"/>
      <c r="AW241" s="8"/>
      <c r="AX241" s="8"/>
      <c r="AY241" s="8"/>
      <c r="AZ241" s="8"/>
      <c r="BA241" s="8"/>
      <c r="BB241" s="8"/>
      <c r="BC241" s="8"/>
      <c r="BD241" s="8"/>
      <c r="BE241" s="8"/>
      <c r="BF241" s="8"/>
      <c r="BG241" s="8"/>
      <c r="BH241" s="8"/>
      <c r="BI241" s="8"/>
    </row>
    <row r="242" spans="1:61" s="7" customFormat="1" x14ac:dyDescent="0.2">
      <c r="A242" s="118"/>
      <c r="B242" s="118"/>
      <c r="C242" s="118"/>
      <c r="D242" s="118"/>
      <c r="E242" s="118"/>
      <c r="F242" s="163"/>
      <c r="G242" s="163"/>
      <c r="H242" s="163"/>
      <c r="I242" s="163"/>
      <c r="J242" s="304" t="s">
        <v>32</v>
      </c>
      <c r="K242" s="304"/>
      <c r="L242" s="163"/>
      <c r="M242" s="163"/>
      <c r="N242" s="163"/>
      <c r="O242" s="50"/>
      <c r="P242" s="50"/>
      <c r="Q242" s="50"/>
      <c r="R242" s="50"/>
      <c r="S242" s="50"/>
      <c r="T242" s="50"/>
      <c r="U242" s="50"/>
      <c r="V242" s="50"/>
      <c r="W242" s="50"/>
      <c r="X242" s="50"/>
      <c r="Y242" s="76"/>
      <c r="Z242" s="76"/>
      <c r="AA242" s="1"/>
      <c r="AB242" s="1"/>
      <c r="AC242" s="1"/>
      <c r="AD242" s="1"/>
      <c r="AE242" s="1"/>
      <c r="AF242" s="1"/>
      <c r="AG242" s="1"/>
      <c r="AH242" s="1"/>
      <c r="AI242" s="9"/>
      <c r="AJ242" s="9"/>
      <c r="AK242" s="9"/>
      <c r="AL242" s="9"/>
      <c r="AM242" s="9"/>
      <c r="AN242" s="9"/>
      <c r="AO242" s="6"/>
      <c r="AP242" s="6"/>
      <c r="AQ242" s="6"/>
      <c r="AR242" s="8"/>
      <c r="AS242" s="8"/>
      <c r="AT242" s="8"/>
      <c r="AU242" s="8"/>
      <c r="AV242" s="8"/>
      <c r="AW242" s="8"/>
      <c r="AX242" s="8"/>
      <c r="AY242" s="8"/>
      <c r="AZ242" s="8"/>
      <c r="BA242" s="8"/>
      <c r="BB242" s="8"/>
      <c r="BC242" s="8"/>
      <c r="BD242" s="8"/>
      <c r="BE242" s="8"/>
      <c r="BF242" s="8"/>
      <c r="BG242" s="8"/>
      <c r="BH242" s="8"/>
      <c r="BI242" s="8"/>
    </row>
    <row r="243" spans="1:61" s="7" customFormat="1" x14ac:dyDescent="0.2">
      <c r="A243" s="118"/>
      <c r="B243" s="118"/>
      <c r="C243" s="118"/>
      <c r="D243" s="118"/>
      <c r="E243" s="118" t="s">
        <v>377</v>
      </c>
      <c r="F243" s="163"/>
      <c r="G243" s="163"/>
      <c r="H243" s="163"/>
      <c r="I243" s="163"/>
      <c r="J243" s="196" t="s">
        <v>29</v>
      </c>
      <c r="K243" s="196" t="s">
        <v>30</v>
      </c>
      <c r="L243" s="196" t="s">
        <v>31</v>
      </c>
      <c r="M243" s="163"/>
      <c r="N243" s="163"/>
      <c r="O243" s="38"/>
      <c r="P243" s="38"/>
      <c r="Q243" s="38"/>
      <c r="R243" s="38"/>
      <c r="S243" s="38"/>
      <c r="T243" s="38"/>
      <c r="U243" s="39"/>
      <c r="V243" s="39"/>
      <c r="W243" s="39"/>
      <c r="X243" s="39"/>
      <c r="Y243" s="105"/>
      <c r="Z243" s="105"/>
      <c r="AA243" s="13"/>
      <c r="AB243" s="13"/>
      <c r="AC243" s="13"/>
      <c r="AD243" s="13"/>
      <c r="AE243" s="1"/>
      <c r="AF243" s="1"/>
      <c r="AG243" s="1"/>
      <c r="AH243" s="1"/>
      <c r="AI243" s="1"/>
      <c r="AJ243" s="9"/>
      <c r="AK243" s="9"/>
      <c r="AL243" s="9"/>
      <c r="AM243" s="9"/>
      <c r="AN243" s="9"/>
      <c r="AO243" s="6"/>
      <c r="AP243" s="6"/>
      <c r="AQ243" s="6"/>
      <c r="AR243" s="8"/>
      <c r="AS243" s="8"/>
      <c r="AT243" s="8"/>
      <c r="AU243" s="8"/>
      <c r="AV243" s="8"/>
      <c r="AW243" s="8"/>
      <c r="AX243" s="8"/>
      <c r="AY243" s="8"/>
      <c r="AZ243" s="8"/>
      <c r="BA243" s="8"/>
      <c r="BB243" s="8"/>
      <c r="BC243" s="8"/>
      <c r="BD243" s="8"/>
      <c r="BE243" s="8"/>
      <c r="BF243" s="8"/>
      <c r="BG243" s="8"/>
      <c r="BH243" s="8"/>
      <c r="BI243" s="8"/>
    </row>
    <row r="244" spans="1:61" s="7" customFormat="1" ht="15.75" x14ac:dyDescent="0.25">
      <c r="A244" s="118"/>
      <c r="B244" s="118"/>
      <c r="C244" s="118"/>
      <c r="D244" s="118"/>
      <c r="E244" s="184">
        <f>K256</f>
        <v>0</v>
      </c>
      <c r="F244" s="163" t="str">
        <f>I244</f>
        <v>Your budget will display here</v>
      </c>
      <c r="G244" s="197">
        <f>IF(L244&gt;0.503,0.04,0.2)</f>
        <v>0.04</v>
      </c>
      <c r="H244" s="197">
        <f>N244</f>
        <v>8.0000000000000002E-3</v>
      </c>
      <c r="I244" s="163" t="str">
        <f>IF(AND(T37&gt;0,T205&gt;0), "Housing Expenses", "Your budget will display here")</f>
        <v>Your budget will display here</v>
      </c>
      <c r="J244" s="198">
        <v>0</v>
      </c>
      <c r="K244" s="198">
        <f>IF(V256&lt;0,0,V256)</f>
        <v>0.35</v>
      </c>
      <c r="L244" s="197">
        <f>IF(AND(T37&gt;0,T205&gt;0), T57/$T$37, 1)</f>
        <v>1</v>
      </c>
      <c r="M244" s="198">
        <f>L244-0.005</f>
        <v>0.995</v>
      </c>
      <c r="N244" s="199">
        <v>8.0000000000000002E-3</v>
      </c>
      <c r="O244" s="37" t="s">
        <v>219</v>
      </c>
      <c r="P244" s="37"/>
      <c r="Q244" s="37"/>
      <c r="R244" s="37"/>
      <c r="S244" s="37"/>
      <c r="T244" s="38"/>
      <c r="U244" s="39"/>
      <c r="V244" s="39"/>
      <c r="W244" s="39"/>
      <c r="X244" s="39"/>
      <c r="Y244" s="105"/>
      <c r="Z244" s="105"/>
      <c r="AA244" s="13"/>
      <c r="AB244" s="13"/>
      <c r="AC244" s="1"/>
      <c r="AD244" s="1"/>
      <c r="AE244" s="13"/>
      <c r="AF244" s="13"/>
      <c r="AG244" s="1"/>
      <c r="AH244" s="1"/>
      <c r="AI244" s="1"/>
      <c r="AJ244" s="9"/>
      <c r="AK244" s="9"/>
      <c r="AL244" s="9"/>
      <c r="AM244" s="9"/>
      <c r="AN244" s="9"/>
      <c r="AO244" s="6"/>
      <c r="AP244" s="6"/>
      <c r="AQ244" s="6"/>
      <c r="AR244" s="8"/>
      <c r="AS244" s="8"/>
      <c r="AT244" s="8"/>
      <c r="AU244" s="8"/>
      <c r="AV244" s="8"/>
      <c r="AW244" s="8"/>
      <c r="AX244" s="8"/>
      <c r="AY244" s="8"/>
      <c r="AZ244" s="8"/>
      <c r="BA244" s="8"/>
      <c r="BB244" s="8"/>
      <c r="BC244" s="8"/>
      <c r="BD244" s="8"/>
      <c r="BE244" s="8"/>
      <c r="BF244" s="8"/>
      <c r="BG244" s="8"/>
      <c r="BH244" s="8"/>
      <c r="BI244" s="8"/>
    </row>
    <row r="245" spans="1:61" s="7" customFormat="1" ht="12.75" customHeight="1" x14ac:dyDescent="0.2">
      <c r="A245" s="118"/>
      <c r="B245" s="118"/>
      <c r="C245" s="118"/>
      <c r="D245" s="118">
        <f>SUM(E245:$E$252)</f>
        <v>1</v>
      </c>
      <c r="E245" s="184">
        <f>K257</f>
        <v>0</v>
      </c>
      <c r="F245" s="163" t="str">
        <f>I245</f>
        <v/>
      </c>
      <c r="G245" s="197">
        <f t="shared" ref="G245:G251" si="62">IF(L245&gt;0.304,0.04,0.2)</f>
        <v>0.04</v>
      </c>
      <c r="H245" s="197">
        <f>IF(X257="", 0, N245)</f>
        <v>0</v>
      </c>
      <c r="I245" s="163" t="str">
        <f>IF(AND(T37&gt;0,T205&gt;0), "Other Utilities", "")</f>
        <v/>
      </c>
      <c r="J245" s="198">
        <v>0</v>
      </c>
      <c r="K245" s="198">
        <f>IF(V257&lt;0,0,V257)</f>
        <v>0.05</v>
      </c>
      <c r="L245" s="197" t="str">
        <f>IF(AND(T37&gt;0,T205&gt;0), T70/$T$37, "")</f>
        <v/>
      </c>
      <c r="M245" s="200" t="str">
        <f t="shared" ref="M245:M252" si="63">IF(L245="", "", L245-0.005)</f>
        <v/>
      </c>
      <c r="N245" s="199">
        <v>5.0000000000000001E-3</v>
      </c>
      <c r="O245" s="288" t="s">
        <v>308</v>
      </c>
      <c r="P245" s="288"/>
      <c r="Q245" s="288"/>
      <c r="R245" s="288"/>
      <c r="S245" s="288"/>
      <c r="T245" s="288"/>
      <c r="U245" s="288"/>
      <c r="V245" s="288"/>
      <c r="W245" s="288"/>
      <c r="X245" s="288"/>
      <c r="Y245" s="105"/>
      <c r="Z245" s="105"/>
      <c r="AA245" s="13"/>
      <c r="AB245" s="13"/>
      <c r="AC245" s="1"/>
      <c r="AD245" s="1"/>
      <c r="AE245" s="13"/>
      <c r="AF245" s="13"/>
      <c r="AG245" s="1"/>
      <c r="AH245" s="1"/>
      <c r="AI245" s="1"/>
      <c r="AJ245" s="9"/>
      <c r="AK245" s="9"/>
      <c r="AL245" s="9"/>
      <c r="AM245" s="9"/>
      <c r="AN245" s="9"/>
      <c r="AO245" s="6"/>
      <c r="AP245" s="6"/>
      <c r="AQ245" s="6"/>
      <c r="AR245" s="8"/>
      <c r="AS245" s="8"/>
      <c r="AT245" s="8"/>
      <c r="AU245" s="8"/>
      <c r="AV245" s="8"/>
      <c r="AW245" s="8"/>
      <c r="AX245" s="8"/>
      <c r="AY245" s="8"/>
      <c r="AZ245" s="8"/>
      <c r="BA245" s="8"/>
      <c r="BB245" s="8"/>
      <c r="BC245" s="8"/>
      <c r="BD245" s="8"/>
      <c r="BE245" s="8"/>
      <c r="BF245" s="8"/>
      <c r="BG245" s="8"/>
      <c r="BH245" s="8"/>
      <c r="BI245" s="8"/>
    </row>
    <row r="246" spans="1:61" s="7" customFormat="1" x14ac:dyDescent="0.2">
      <c r="A246" s="118"/>
      <c r="B246" s="118"/>
      <c r="C246" s="118"/>
      <c r="D246" s="118">
        <f>SUM(E246:$E$252)</f>
        <v>1</v>
      </c>
      <c r="E246" s="184">
        <f t="shared" ref="E246:E252" si="64">K258</f>
        <v>0</v>
      </c>
      <c r="F246" s="163" t="str">
        <f t="shared" ref="F246:F252" si="65">I246</f>
        <v/>
      </c>
      <c r="G246" s="197">
        <f t="shared" si="62"/>
        <v>0.04</v>
      </c>
      <c r="H246" s="197">
        <f t="shared" ref="H246:H251" si="66">IF(X258="", 0, N246)</f>
        <v>0</v>
      </c>
      <c r="I246" s="163" t="str">
        <f>IF(AND(T37&gt;0,T205&gt;0), "Food Expenses", "")</f>
        <v/>
      </c>
      <c r="J246" s="198">
        <f>IF(T258&gt;V258,0,IF(J72&lt;N72,J74/T37,T258))</f>
        <v>0.1</v>
      </c>
      <c r="K246" s="198">
        <f>IF(T258&gt;V258,0,IF(J72&lt;N72,(J72/T37)-J246,V258-T258))</f>
        <v>0.1</v>
      </c>
      <c r="L246" s="197" t="str">
        <f>IF(AND(T37&gt;0,T205&gt;0), T81/$T$37, "")</f>
        <v/>
      </c>
      <c r="M246" s="198" t="str">
        <f t="shared" si="63"/>
        <v/>
      </c>
      <c r="N246" s="199">
        <v>5.0000000000000001E-3</v>
      </c>
      <c r="O246" s="288"/>
      <c r="P246" s="288"/>
      <c r="Q246" s="288"/>
      <c r="R246" s="288"/>
      <c r="S246" s="288"/>
      <c r="T246" s="288"/>
      <c r="U246" s="288"/>
      <c r="V246" s="288"/>
      <c r="W246" s="288"/>
      <c r="X246" s="288"/>
      <c r="Y246" s="105"/>
      <c r="Z246" s="105"/>
      <c r="AA246" s="1"/>
      <c r="AB246" s="13"/>
      <c r="AC246" s="1"/>
      <c r="AD246" s="1"/>
      <c r="AE246" s="13"/>
      <c r="AF246" s="13"/>
      <c r="AG246" s="1"/>
      <c r="AH246" s="1"/>
      <c r="AI246" s="1"/>
      <c r="AJ246" s="9"/>
      <c r="AK246" s="9"/>
      <c r="AL246" s="9"/>
      <c r="AM246" s="9"/>
      <c r="AN246" s="9"/>
      <c r="AO246" s="6"/>
      <c r="AP246" s="6"/>
      <c r="AQ246" s="6"/>
      <c r="AR246" s="8"/>
      <c r="AS246" s="8"/>
      <c r="AT246" s="8"/>
      <c r="AU246" s="8"/>
      <c r="AV246" s="8"/>
      <c r="AW246" s="8"/>
      <c r="AX246" s="8"/>
      <c r="AY246" s="8"/>
      <c r="AZ246" s="8"/>
      <c r="BA246" s="8"/>
      <c r="BB246" s="8"/>
      <c r="BC246" s="8"/>
      <c r="BD246" s="8"/>
      <c r="BE246" s="8"/>
      <c r="BF246" s="8"/>
      <c r="BG246" s="8"/>
      <c r="BH246" s="8"/>
      <c r="BI246" s="8"/>
    </row>
    <row r="247" spans="1:61" s="7" customFormat="1" x14ac:dyDescent="0.2">
      <c r="A247" s="118"/>
      <c r="B247" s="118"/>
      <c r="C247" s="118"/>
      <c r="D247" s="118">
        <f>SUM(E247:$E$252)</f>
        <v>1</v>
      </c>
      <c r="E247" s="184">
        <f t="shared" si="64"/>
        <v>0</v>
      </c>
      <c r="F247" s="163" t="str">
        <f t="shared" si="65"/>
        <v/>
      </c>
      <c r="G247" s="197">
        <f t="shared" si="62"/>
        <v>0.04</v>
      </c>
      <c r="H247" s="197">
        <f t="shared" si="66"/>
        <v>0</v>
      </c>
      <c r="I247" s="163" t="str">
        <f>IF(AND(T37&gt;0,T205&gt;0), "Transportation", "")</f>
        <v/>
      </c>
      <c r="J247" s="198">
        <f>IF(T259&gt;V259,0,T259)</f>
        <v>0.15</v>
      </c>
      <c r="K247" s="198">
        <f>IF(T259&gt;V259,0,V259-T259)</f>
        <v>5.0000000000000017E-2</v>
      </c>
      <c r="L247" s="197" t="str">
        <f>IF(AND(T37&gt;0,T205&gt;0), T96/$T$37, "")</f>
        <v/>
      </c>
      <c r="M247" s="198" t="str">
        <f t="shared" si="63"/>
        <v/>
      </c>
      <c r="N247" s="199">
        <v>5.0000000000000001E-3</v>
      </c>
      <c r="O247" s="288"/>
      <c r="P247" s="288"/>
      <c r="Q247" s="288"/>
      <c r="R247" s="288"/>
      <c r="S247" s="288"/>
      <c r="T247" s="288"/>
      <c r="U247" s="288"/>
      <c r="V247" s="288"/>
      <c r="W247" s="288"/>
      <c r="X247" s="288"/>
      <c r="Y247" s="105"/>
      <c r="Z247" s="105"/>
      <c r="AA247" s="13"/>
      <c r="AB247" s="13"/>
      <c r="AC247" s="1"/>
      <c r="AD247" s="1"/>
      <c r="AE247" s="13"/>
      <c r="AF247" s="13"/>
      <c r="AG247" s="1"/>
      <c r="AH247" s="1"/>
      <c r="AI247" s="1"/>
      <c r="AJ247" s="9"/>
      <c r="AK247" s="9"/>
      <c r="AL247" s="9"/>
      <c r="AM247" s="9"/>
      <c r="AN247" s="9"/>
      <c r="AO247" s="6"/>
      <c r="AP247" s="6"/>
      <c r="AQ247" s="6"/>
      <c r="AR247" s="8"/>
      <c r="AS247" s="8"/>
      <c r="AT247" s="8"/>
      <c r="AU247" s="8"/>
      <c r="AV247" s="8"/>
      <c r="AW247" s="8"/>
      <c r="AX247" s="8"/>
      <c r="AY247" s="8"/>
      <c r="AZ247" s="8"/>
      <c r="BA247" s="8"/>
      <c r="BB247" s="8"/>
      <c r="BC247" s="8"/>
      <c r="BD247" s="8"/>
      <c r="BE247" s="8"/>
      <c r="BF247" s="8"/>
      <c r="BG247" s="8"/>
      <c r="BH247" s="8"/>
      <c r="BI247" s="8"/>
    </row>
    <row r="248" spans="1:61" s="7" customFormat="1" x14ac:dyDescent="0.2">
      <c r="A248" s="118"/>
      <c r="B248" s="118"/>
      <c r="C248" s="118"/>
      <c r="D248" s="118">
        <f>SUM(E248:$E$252)</f>
        <v>1</v>
      </c>
      <c r="E248" s="184">
        <f t="shared" si="64"/>
        <v>0</v>
      </c>
      <c r="F248" s="163" t="str">
        <f t="shared" si="65"/>
        <v/>
      </c>
      <c r="G248" s="197">
        <f t="shared" si="62"/>
        <v>0.04</v>
      </c>
      <c r="H248" s="197">
        <f t="shared" si="66"/>
        <v>0</v>
      </c>
      <c r="I248" s="163" t="str">
        <f>IF(AND(T37&gt;0,T205&gt;0), "Clothing", "")</f>
        <v/>
      </c>
      <c r="J248" s="198">
        <f>IF(T260&gt;V260,0,T260)</f>
        <v>0.03</v>
      </c>
      <c r="K248" s="198">
        <f>IF(T260&gt;V260,0,V260-T260)</f>
        <v>2.0000000000000004E-2</v>
      </c>
      <c r="L248" s="197" t="str">
        <f>IF(AND(T37&gt;0,T205&gt;0), T108/$T$37, "")</f>
        <v/>
      </c>
      <c r="M248" s="198" t="str">
        <f t="shared" si="63"/>
        <v/>
      </c>
      <c r="N248" s="199">
        <v>5.0000000000000001E-3</v>
      </c>
      <c r="O248" s="288"/>
      <c r="P248" s="288"/>
      <c r="Q248" s="288"/>
      <c r="R248" s="288"/>
      <c r="S248" s="288"/>
      <c r="T248" s="288"/>
      <c r="U248" s="288"/>
      <c r="V248" s="288"/>
      <c r="W248" s="288"/>
      <c r="X248" s="288"/>
      <c r="Y248" s="105"/>
      <c r="Z248" s="105"/>
      <c r="AA248" s="13"/>
      <c r="AB248" s="13"/>
      <c r="AC248" s="1"/>
      <c r="AD248" s="1"/>
      <c r="AE248" s="13"/>
      <c r="AF248" s="13"/>
      <c r="AG248" s="1"/>
      <c r="AH248" s="1"/>
      <c r="AI248" s="1"/>
      <c r="AJ248" s="9"/>
      <c r="AK248" s="9"/>
      <c r="AL248" s="9"/>
      <c r="AM248" s="9"/>
      <c r="AN248" s="9"/>
      <c r="AO248" s="6"/>
      <c r="AP248" s="6"/>
      <c r="AQ248" s="6"/>
      <c r="AR248" s="8"/>
      <c r="AS248" s="8"/>
      <c r="AT248" s="8"/>
      <c r="AU248" s="8"/>
      <c r="AV248" s="8"/>
      <c r="AW248" s="8"/>
      <c r="AX248" s="8"/>
      <c r="AY248" s="8"/>
      <c r="AZ248" s="8"/>
      <c r="BA248" s="8"/>
      <c r="BB248" s="8"/>
      <c r="BC248" s="8"/>
      <c r="BD248" s="8"/>
      <c r="BE248" s="8"/>
      <c r="BF248" s="8"/>
      <c r="BG248" s="8"/>
      <c r="BH248" s="8"/>
      <c r="BI248" s="8"/>
    </row>
    <row r="249" spans="1:61" s="7" customFormat="1" x14ac:dyDescent="0.2">
      <c r="A249" s="118"/>
      <c r="B249" s="118"/>
      <c r="C249" s="118"/>
      <c r="D249" s="118">
        <f>SUM(E249:$E$252)</f>
        <v>1</v>
      </c>
      <c r="E249" s="184">
        <f t="shared" si="64"/>
        <v>0</v>
      </c>
      <c r="F249" s="163" t="str">
        <f t="shared" si="65"/>
        <v/>
      </c>
      <c r="G249" s="197">
        <f t="shared" si="62"/>
        <v>0.04</v>
      </c>
      <c r="H249" s="197">
        <f t="shared" si="66"/>
        <v>0</v>
      </c>
      <c r="I249" s="163" t="str">
        <f>IF(AND(T37&gt;0,T205&gt;0), "Medical", "")</f>
        <v/>
      </c>
      <c r="J249" s="198">
        <v>0</v>
      </c>
      <c r="K249" s="198">
        <f>IF(V261&lt;0,0,V261)</f>
        <v>0.03</v>
      </c>
      <c r="L249" s="197" t="str">
        <f>IF(AND(T37&gt;0,T205&gt;0), T128/$T$37, "")</f>
        <v/>
      </c>
      <c r="M249" s="198" t="str">
        <f t="shared" si="63"/>
        <v/>
      </c>
      <c r="N249" s="199">
        <v>5.0000000000000001E-3</v>
      </c>
      <c r="O249" s="288"/>
      <c r="P249" s="288"/>
      <c r="Q249" s="288"/>
      <c r="R249" s="288"/>
      <c r="S249" s="288"/>
      <c r="T249" s="288"/>
      <c r="U249" s="288"/>
      <c r="V249" s="288"/>
      <c r="W249" s="288"/>
      <c r="X249" s="288"/>
      <c r="Y249" s="105"/>
      <c r="Z249" s="105"/>
      <c r="AA249" s="13"/>
      <c r="AB249" s="13"/>
      <c r="AC249" s="1"/>
      <c r="AD249" s="1"/>
      <c r="AE249" s="13"/>
      <c r="AF249" s="13"/>
      <c r="AG249" s="1"/>
      <c r="AH249" s="1"/>
      <c r="AI249" s="1"/>
      <c r="AJ249" s="9"/>
      <c r="AK249" s="9"/>
      <c r="AL249" s="9"/>
      <c r="AM249" s="9"/>
      <c r="AN249" s="9"/>
      <c r="AO249" s="6"/>
      <c r="AP249" s="6"/>
      <c r="AQ249" s="6"/>
      <c r="AR249" s="8"/>
      <c r="AS249" s="8"/>
      <c r="AT249" s="8"/>
      <c r="AU249" s="8"/>
      <c r="AV249" s="8"/>
      <c r="AW249" s="8"/>
      <c r="AX249" s="8"/>
      <c r="AY249" s="8"/>
      <c r="AZ249" s="8"/>
      <c r="BA249" s="8"/>
      <c r="BB249" s="8"/>
      <c r="BC249" s="8"/>
      <c r="BD249" s="8"/>
      <c r="BE249" s="8"/>
      <c r="BF249" s="8"/>
      <c r="BG249" s="8"/>
      <c r="BH249" s="8"/>
      <c r="BI249" s="8"/>
    </row>
    <row r="250" spans="1:61" s="7" customFormat="1" x14ac:dyDescent="0.2">
      <c r="A250" s="118"/>
      <c r="B250" s="118"/>
      <c r="C250" s="118"/>
      <c r="D250" s="118">
        <f>SUM(E250:$E$252)</f>
        <v>1</v>
      </c>
      <c r="E250" s="184">
        <f>IF(AND(K262=0,T1&gt;1,L250&gt;0.1), 1, K262)</f>
        <v>1</v>
      </c>
      <c r="F250" s="163" t="str">
        <f t="shared" si="65"/>
        <v/>
      </c>
      <c r="G250" s="197">
        <f t="shared" si="62"/>
        <v>0.04</v>
      </c>
      <c r="H250" s="197">
        <f t="shared" si="66"/>
        <v>0</v>
      </c>
      <c r="I250" s="163" t="str">
        <f>IF(AND(T37&gt;0,T205&gt;0), "Personal Expenses", "")</f>
        <v/>
      </c>
      <c r="J250" s="198">
        <f>IF(T262&gt;V262,0,T262)</f>
        <v>0.05</v>
      </c>
      <c r="K250" s="198">
        <f>IF(T262&gt;V262,0,V262-T262)</f>
        <v>0.05</v>
      </c>
      <c r="L250" s="197" t="str">
        <f>IF(AND(T37&gt;0,T205&gt;0), T172/$T$37, "")</f>
        <v/>
      </c>
      <c r="M250" s="198" t="str">
        <f t="shared" si="63"/>
        <v/>
      </c>
      <c r="N250" s="199">
        <v>5.0000000000000001E-3</v>
      </c>
      <c r="O250" s="288"/>
      <c r="P250" s="288"/>
      <c r="Q250" s="288"/>
      <c r="R250" s="288"/>
      <c r="S250" s="288"/>
      <c r="T250" s="288"/>
      <c r="U250" s="288"/>
      <c r="V250" s="288"/>
      <c r="W250" s="288"/>
      <c r="X250" s="288"/>
      <c r="Y250" s="105"/>
      <c r="Z250" s="105"/>
      <c r="AA250" s="13"/>
      <c r="AB250" s="13"/>
      <c r="AC250" s="1"/>
      <c r="AD250" s="1"/>
      <c r="AE250" s="13"/>
      <c r="AF250" s="13"/>
      <c r="AG250" s="1"/>
      <c r="AH250" s="1"/>
      <c r="AI250" s="1"/>
      <c r="AJ250" s="9"/>
      <c r="AK250" s="9"/>
      <c r="AL250" s="9"/>
      <c r="AM250" s="9"/>
      <c r="AN250" s="9"/>
      <c r="AO250" s="6"/>
      <c r="AP250" s="6"/>
      <c r="AQ250" s="6"/>
      <c r="AR250" s="8"/>
      <c r="AS250" s="8"/>
      <c r="AT250" s="8"/>
      <c r="AU250" s="8"/>
      <c r="AV250" s="8"/>
      <c r="AW250" s="8"/>
      <c r="AX250" s="8"/>
      <c r="AY250" s="8"/>
      <c r="AZ250" s="8"/>
      <c r="BA250" s="8"/>
      <c r="BB250" s="8"/>
      <c r="BC250" s="8"/>
      <c r="BD250" s="8"/>
      <c r="BE250" s="8"/>
      <c r="BF250" s="8"/>
      <c r="BG250" s="8"/>
      <c r="BH250" s="8"/>
      <c r="BI250" s="8"/>
    </row>
    <row r="251" spans="1:61" s="7" customFormat="1" x14ac:dyDescent="0.2">
      <c r="A251" s="118"/>
      <c r="B251" s="118"/>
      <c r="C251" s="118"/>
      <c r="D251" s="118">
        <f>SUM(E251:$E$252)</f>
        <v>0</v>
      </c>
      <c r="E251" s="184">
        <f t="shared" si="64"/>
        <v>0</v>
      </c>
      <c r="F251" s="163" t="str">
        <f t="shared" si="65"/>
        <v/>
      </c>
      <c r="G251" s="197">
        <f t="shared" si="62"/>
        <v>0.04</v>
      </c>
      <c r="H251" s="197">
        <f t="shared" si="66"/>
        <v>0</v>
      </c>
      <c r="I251" s="163" t="str">
        <f>IF(AND(T37&gt;0,T205&gt;0), "Savings", "")</f>
        <v/>
      </c>
      <c r="J251" s="198">
        <f>IF(T263&gt;V263,0,T263)</f>
        <v>0.05</v>
      </c>
      <c r="K251" s="198">
        <f>IF(T263&gt;V263,0,V263-T263)</f>
        <v>0.05</v>
      </c>
      <c r="L251" s="197" t="str">
        <f>IF(AND(T37&gt;0,T205&gt;0), T184/$T$37, "")</f>
        <v/>
      </c>
      <c r="M251" s="198" t="str">
        <f t="shared" si="63"/>
        <v/>
      </c>
      <c r="N251" s="199">
        <v>5.0000000000000001E-3</v>
      </c>
      <c r="O251" s="288"/>
      <c r="P251" s="288"/>
      <c r="Q251" s="288"/>
      <c r="R251" s="288"/>
      <c r="S251" s="288"/>
      <c r="T251" s="288"/>
      <c r="U251" s="288"/>
      <c r="V251" s="288"/>
      <c r="W251" s="288"/>
      <c r="X251" s="288"/>
      <c r="Y251" s="105"/>
      <c r="Z251" s="105"/>
      <c r="AA251" s="1"/>
      <c r="AB251" s="13"/>
      <c r="AC251" s="1"/>
      <c r="AD251" s="1"/>
      <c r="AE251" s="13"/>
      <c r="AF251" s="13"/>
      <c r="AG251" s="1"/>
      <c r="AH251" s="1"/>
      <c r="AI251" s="1"/>
      <c r="AJ251" s="9"/>
      <c r="AK251" s="9"/>
      <c r="AL251" s="9"/>
      <c r="AM251" s="9"/>
      <c r="AN251" s="9"/>
      <c r="AO251" s="6"/>
      <c r="AP251" s="6"/>
      <c r="AQ251" s="6"/>
      <c r="AR251" s="8"/>
      <c r="AS251" s="8"/>
      <c r="AT251" s="8"/>
      <c r="AU251" s="8"/>
      <c r="AV251" s="8"/>
      <c r="AW251" s="8"/>
      <c r="AX251" s="8"/>
      <c r="AY251" s="8"/>
      <c r="AZ251" s="8"/>
      <c r="BA251" s="8"/>
      <c r="BB251" s="8"/>
      <c r="BC251" s="8"/>
      <c r="BD251" s="8"/>
      <c r="BE251" s="8"/>
      <c r="BF251" s="8"/>
      <c r="BG251" s="8"/>
      <c r="BH251" s="8"/>
      <c r="BI251" s="8"/>
    </row>
    <row r="252" spans="1:61" s="7" customFormat="1" x14ac:dyDescent="0.2">
      <c r="A252" s="118"/>
      <c r="B252" s="118"/>
      <c r="C252" s="118"/>
      <c r="D252" s="118">
        <f>E252</f>
        <v>0</v>
      </c>
      <c r="E252" s="191">
        <f t="shared" si="64"/>
        <v>0</v>
      </c>
      <c r="F252" s="163" t="str">
        <f t="shared" si="65"/>
        <v/>
      </c>
      <c r="G252" s="197">
        <f>IF(L252&gt;0.304,0.04,0.2)</f>
        <v>0.04</v>
      </c>
      <c r="H252" s="197">
        <f>IF(X264="", 0, N252)</f>
        <v>0</v>
      </c>
      <c r="I252" s="163" t="str">
        <f>IF(AND(T37&gt;0,T205&gt;0), "Debt Payments", "")</f>
        <v/>
      </c>
      <c r="J252" s="198">
        <f>IF(T264&gt;V264,0,T264)</f>
        <v>0.05</v>
      </c>
      <c r="K252" s="198">
        <f>IF(T264&gt;V264,0,V264-T264)</f>
        <v>9.9999999999999992E-2</v>
      </c>
      <c r="L252" s="197" t="str">
        <f>IF(AND(T37&gt;0,T205&gt;0), T203/$T$37, "")</f>
        <v/>
      </c>
      <c r="M252" s="198" t="str">
        <f t="shared" si="63"/>
        <v/>
      </c>
      <c r="N252" s="199">
        <v>5.0000000000000001E-3</v>
      </c>
      <c r="O252" s="288"/>
      <c r="P252" s="288"/>
      <c r="Q252" s="288"/>
      <c r="R252" s="288"/>
      <c r="S252" s="288"/>
      <c r="T252" s="288"/>
      <c r="U252" s="288"/>
      <c r="V252" s="288"/>
      <c r="W252" s="288"/>
      <c r="X252" s="288"/>
      <c r="Y252" s="105"/>
      <c r="Z252" s="105"/>
      <c r="AA252" s="1"/>
      <c r="AB252" s="13"/>
      <c r="AC252" s="1"/>
      <c r="AD252" s="1"/>
      <c r="AE252" s="13"/>
      <c r="AF252" s="13"/>
      <c r="AG252" s="1"/>
      <c r="AH252" s="1"/>
      <c r="AI252" s="1"/>
      <c r="AJ252" s="9"/>
      <c r="AK252" s="9"/>
      <c r="AL252" s="9"/>
      <c r="AM252" s="9"/>
      <c r="AN252" s="9"/>
      <c r="AO252" s="6"/>
      <c r="AP252" s="6"/>
      <c r="AQ252" s="6"/>
      <c r="AR252" s="8"/>
      <c r="AS252" s="8"/>
      <c r="AT252" s="8"/>
      <c r="AU252" s="8"/>
      <c r="AV252" s="8"/>
      <c r="AW252" s="8"/>
      <c r="AX252" s="8"/>
      <c r="AY252" s="8"/>
      <c r="AZ252" s="8"/>
      <c r="BA252" s="8"/>
      <c r="BB252" s="8"/>
      <c r="BC252" s="8"/>
      <c r="BD252" s="8"/>
      <c r="BE252" s="8"/>
      <c r="BF252" s="8"/>
      <c r="BG252" s="8"/>
      <c r="BH252" s="8"/>
      <c r="BI252" s="8"/>
    </row>
    <row r="253" spans="1:61" s="7" customFormat="1" x14ac:dyDescent="0.2">
      <c r="A253" s="118"/>
      <c r="B253" s="118"/>
      <c r="C253" s="118"/>
      <c r="D253" s="118"/>
      <c r="E253" s="184">
        <f>SUM(E244:E252)</f>
        <v>1</v>
      </c>
      <c r="F253" s="163"/>
      <c r="G253" s="163"/>
      <c r="H253" s="163"/>
      <c r="I253" s="163"/>
      <c r="J253" s="163"/>
      <c r="K253" s="163"/>
      <c r="L253" s="163"/>
      <c r="M253" s="163"/>
      <c r="N253" s="163"/>
      <c r="O253" s="38"/>
      <c r="P253" s="38"/>
      <c r="Q253" s="38"/>
      <c r="R253" s="38"/>
      <c r="S253" s="38"/>
      <c r="T253" s="38"/>
      <c r="U253" s="39"/>
      <c r="V253" s="39"/>
      <c r="W253" s="39"/>
      <c r="X253" s="39"/>
      <c r="Y253" s="105"/>
      <c r="Z253" s="105"/>
      <c r="AA253" s="1"/>
      <c r="AB253" s="13"/>
      <c r="AC253" s="1"/>
      <c r="AD253" s="1"/>
      <c r="AE253" s="1"/>
      <c r="AF253" s="1"/>
      <c r="AG253" s="1"/>
      <c r="AH253" s="1"/>
      <c r="AI253" s="13"/>
      <c r="AJ253" s="13"/>
      <c r="AK253" s="13"/>
      <c r="AL253" s="1"/>
      <c r="AM253" s="1"/>
      <c r="AN253" s="9"/>
      <c r="AO253" s="6"/>
      <c r="AP253" s="6"/>
      <c r="AQ253" s="6"/>
      <c r="AR253" s="8"/>
      <c r="AS253" s="8"/>
      <c r="AT253" s="8"/>
      <c r="AU253" s="8"/>
      <c r="AV253" s="8"/>
      <c r="AW253" s="8"/>
      <c r="AX253" s="8"/>
      <c r="AY253" s="8"/>
      <c r="AZ253" s="8"/>
      <c r="BA253" s="8"/>
      <c r="BB253" s="8"/>
      <c r="BC253" s="8"/>
      <c r="BD253" s="8"/>
      <c r="BE253" s="8"/>
      <c r="BF253" s="8"/>
      <c r="BG253" s="8"/>
      <c r="BH253" s="8"/>
      <c r="BI253" s="8"/>
    </row>
    <row r="254" spans="1:61" s="7" customFormat="1" x14ac:dyDescent="0.2">
      <c r="A254" s="118"/>
      <c r="B254" s="118"/>
      <c r="C254" s="201" t="s">
        <v>357</v>
      </c>
      <c r="D254" s="201"/>
      <c r="E254" s="118"/>
      <c r="F254" s="163"/>
      <c r="G254" s="163"/>
      <c r="H254" s="163"/>
      <c r="I254" s="163"/>
      <c r="J254" s="163"/>
      <c r="K254" s="163"/>
      <c r="L254" s="163"/>
      <c r="M254" s="163"/>
      <c r="N254" s="163" t="s">
        <v>229</v>
      </c>
      <c r="O254" s="297" t="s">
        <v>220</v>
      </c>
      <c r="P254" s="125"/>
      <c r="Q254" s="121"/>
      <c r="R254" s="121"/>
      <c r="S254" s="121"/>
      <c r="T254" s="298" t="s">
        <v>156</v>
      </c>
      <c r="U254" s="298"/>
      <c r="V254" s="298" t="s">
        <v>156</v>
      </c>
      <c r="W254" s="298"/>
      <c r="X254" s="309" t="s">
        <v>231</v>
      </c>
      <c r="Y254" s="105"/>
      <c r="Z254" s="105"/>
      <c r="AA254" s="1"/>
      <c r="AB254" s="113"/>
      <c r="AC254" s="1"/>
      <c r="AD254" s="113"/>
      <c r="AE254" s="1"/>
      <c r="AF254" s="113"/>
      <c r="AG254" s="1"/>
      <c r="AH254" s="1"/>
      <c r="AI254" s="13"/>
      <c r="AJ254" s="13"/>
      <c r="AK254" s="13"/>
      <c r="AL254" s="1"/>
      <c r="AM254" s="1"/>
      <c r="AN254" s="9"/>
      <c r="AO254" s="6"/>
      <c r="AP254" s="6"/>
      <c r="AQ254" s="6"/>
      <c r="AR254" s="8"/>
      <c r="AS254" s="8"/>
      <c r="AT254" s="8"/>
      <c r="AU254" s="8"/>
      <c r="AV254" s="8"/>
      <c r="AW254" s="8"/>
      <c r="AX254" s="8"/>
      <c r="AY254" s="8"/>
      <c r="AZ254" s="8"/>
      <c r="BA254" s="8"/>
      <c r="BB254" s="8"/>
      <c r="BC254" s="8"/>
      <c r="BD254" s="8"/>
      <c r="BE254" s="8"/>
      <c r="BF254" s="8"/>
      <c r="BG254" s="8"/>
      <c r="BH254" s="8"/>
      <c r="BI254" s="8"/>
    </row>
    <row r="255" spans="1:61" s="7" customFormat="1" x14ac:dyDescent="0.2">
      <c r="A255" s="118"/>
      <c r="B255" s="118"/>
      <c r="C255" s="202" t="s">
        <v>358</v>
      </c>
      <c r="D255" s="202" t="s">
        <v>359</v>
      </c>
      <c r="E255" s="118"/>
      <c r="F255" s="163"/>
      <c r="G255" s="163"/>
      <c r="H255" s="163"/>
      <c r="I255" s="163"/>
      <c r="J255" s="163"/>
      <c r="K255" s="163" t="s">
        <v>376</v>
      </c>
      <c r="L255" s="163" t="s">
        <v>375</v>
      </c>
      <c r="M255" s="198">
        <f t="shared" ref="M255:M263" si="67">M244</f>
        <v>0.995</v>
      </c>
      <c r="N255" s="163" t="s">
        <v>230</v>
      </c>
      <c r="O255" s="297"/>
      <c r="P255" s="125"/>
      <c r="Q255" s="121"/>
      <c r="R255" s="121"/>
      <c r="S255" s="121"/>
      <c r="T255" s="298" t="s">
        <v>221</v>
      </c>
      <c r="U255" s="298"/>
      <c r="V255" s="298" t="s">
        <v>222</v>
      </c>
      <c r="W255" s="298"/>
      <c r="X255" s="309"/>
      <c r="Y255" s="86"/>
      <c r="Z255" s="86"/>
      <c r="AA255" s="1"/>
      <c r="AB255" s="14"/>
      <c r="AC255" s="14"/>
      <c r="AD255" s="14"/>
      <c r="AE255" s="14"/>
      <c r="AF255" s="14"/>
      <c r="AG255" s="14"/>
      <c r="AH255" s="1"/>
      <c r="AI255" s="14"/>
      <c r="AJ255" s="15"/>
      <c r="AK255" s="14"/>
      <c r="AL255" s="1"/>
      <c r="AM255" s="1"/>
      <c r="AN255" s="9"/>
      <c r="AO255" s="6"/>
      <c r="AP255" s="6"/>
      <c r="AQ255" s="6"/>
      <c r="AR255" s="8"/>
      <c r="AS255" s="8"/>
      <c r="AT255" s="8"/>
      <c r="AU255" s="8"/>
      <c r="AV255" s="8"/>
      <c r="AW255" s="8"/>
      <c r="AX255" s="8"/>
      <c r="AY255" s="8"/>
      <c r="AZ255" s="8"/>
      <c r="BA255" s="8"/>
      <c r="BB255" s="8"/>
      <c r="BC255" s="8"/>
      <c r="BD255" s="8"/>
      <c r="BE255" s="8"/>
      <c r="BF255" s="8"/>
      <c r="BG255" s="8"/>
      <c r="BH255" s="8"/>
      <c r="BI255" s="8"/>
    </row>
    <row r="256" spans="1:61" s="7" customFormat="1" x14ac:dyDescent="0.2">
      <c r="A256" s="118"/>
      <c r="B256" s="118" t="str">
        <f>O256</f>
        <v>HOUSING EXPENSES</v>
      </c>
      <c r="C256" s="203">
        <v>0.35</v>
      </c>
      <c r="D256" s="203">
        <v>0.35</v>
      </c>
      <c r="E256" s="118"/>
      <c r="F256" s="163"/>
      <c r="G256" s="163"/>
      <c r="H256" s="163"/>
      <c r="I256" s="163"/>
      <c r="J256" s="163"/>
      <c r="K256" s="163">
        <f>IF(L256&lt;-0.0075, 1, 0)</f>
        <v>0</v>
      </c>
      <c r="L256" s="197" t="str">
        <f t="shared" ref="L256:L264" si="68">IF(X256="", "", V256-X256)</f>
        <v/>
      </c>
      <c r="M256" s="198" t="str">
        <f t="shared" si="67"/>
        <v/>
      </c>
      <c r="N256" s="168" t="str">
        <f>IF(V256=0.35,"No","Changed")</f>
        <v>No</v>
      </c>
      <c r="O256" s="46" t="str">
        <f>O40</f>
        <v>HOUSING EXPENSES</v>
      </c>
      <c r="P256" s="46"/>
      <c r="Q256" s="46"/>
      <c r="R256" s="46"/>
      <c r="S256" s="46"/>
      <c r="T256" s="301" t="s">
        <v>223</v>
      </c>
      <c r="U256" s="301"/>
      <c r="V256" s="292">
        <v>0.35</v>
      </c>
      <c r="W256" s="292"/>
      <c r="X256" s="106" t="str">
        <f>IF(T37=0, "", T57/T37)</f>
        <v/>
      </c>
      <c r="Y256" s="86"/>
      <c r="Z256" s="86"/>
      <c r="AA256" s="1"/>
      <c r="AB256" s="14"/>
      <c r="AC256" s="14"/>
      <c r="AD256" s="1"/>
      <c r="AE256" s="14"/>
      <c r="AF256" s="14"/>
      <c r="AG256" s="14"/>
      <c r="AH256" s="1"/>
      <c r="AI256" s="14"/>
      <c r="AJ256" s="15"/>
      <c r="AK256" s="14"/>
      <c r="AL256" s="1"/>
      <c r="AM256" s="1"/>
      <c r="AN256" s="9"/>
      <c r="AO256" s="6"/>
      <c r="AP256" s="6"/>
      <c r="AQ256" s="6"/>
      <c r="AR256" s="8"/>
      <c r="AS256" s="8"/>
      <c r="AT256" s="8"/>
      <c r="AU256" s="8"/>
      <c r="AV256" s="8"/>
      <c r="AW256" s="8"/>
      <c r="AX256" s="8"/>
      <c r="AY256" s="8"/>
      <c r="AZ256" s="8"/>
      <c r="BA256" s="8"/>
      <c r="BB256" s="8"/>
      <c r="BC256" s="8"/>
      <c r="BD256" s="8"/>
      <c r="BE256" s="8"/>
      <c r="BF256" s="8"/>
      <c r="BG256" s="8"/>
      <c r="BH256" s="8"/>
      <c r="BI256" s="8"/>
    </row>
    <row r="257" spans="1:61" s="7" customFormat="1" x14ac:dyDescent="0.2">
      <c r="A257" s="118"/>
      <c r="B257" s="118" t="str">
        <f t="shared" ref="B257:B264" si="69">O257</f>
        <v>OTHER UTILITIES</v>
      </c>
      <c r="C257" s="204">
        <v>0.05</v>
      </c>
      <c r="D257" s="204">
        <v>0.05</v>
      </c>
      <c r="E257" s="118"/>
      <c r="F257" s="163"/>
      <c r="G257" s="163"/>
      <c r="H257" s="163"/>
      <c r="I257" s="163"/>
      <c r="J257" s="163"/>
      <c r="K257" s="163">
        <f>IF(L257&lt;-0.0075, 1, 0)</f>
        <v>0</v>
      </c>
      <c r="L257" s="200" t="str">
        <f t="shared" si="68"/>
        <v/>
      </c>
      <c r="M257" s="198" t="str">
        <f t="shared" si="67"/>
        <v/>
      </c>
      <c r="N257" s="168"/>
      <c r="O257" s="107" t="str">
        <f>O59</f>
        <v>OTHER UTILITIES</v>
      </c>
      <c r="P257" s="107"/>
      <c r="Q257" s="107"/>
      <c r="R257" s="107"/>
      <c r="S257" s="107"/>
      <c r="T257" s="300" t="s">
        <v>223</v>
      </c>
      <c r="U257" s="300"/>
      <c r="V257" s="299">
        <v>0.05</v>
      </c>
      <c r="W257" s="299"/>
      <c r="X257" s="108" t="str">
        <f>L245</f>
        <v/>
      </c>
      <c r="Y257" s="86"/>
      <c r="Z257" s="86"/>
      <c r="AA257" s="1"/>
      <c r="AB257" s="14"/>
      <c r="AC257" s="14"/>
      <c r="AD257" s="14"/>
      <c r="AE257" s="14"/>
      <c r="AF257" s="14"/>
      <c r="AG257" s="14"/>
      <c r="AH257" s="1"/>
      <c r="AI257" s="14"/>
      <c r="AJ257" s="15"/>
      <c r="AK257" s="14"/>
      <c r="AL257" s="1"/>
      <c r="AM257" s="1"/>
      <c r="AN257" s="1"/>
      <c r="AO257" s="1"/>
      <c r="AP257" s="1"/>
      <c r="AQ257" s="1"/>
      <c r="AR257" s="8"/>
      <c r="AS257" s="8"/>
      <c r="AT257" s="8"/>
      <c r="AU257" s="8"/>
      <c r="AV257" s="8"/>
      <c r="AW257" s="8"/>
      <c r="AX257" s="8"/>
      <c r="AY257" s="8"/>
      <c r="AZ257" s="8"/>
      <c r="BA257" s="8"/>
      <c r="BB257" s="8"/>
      <c r="BC257" s="8"/>
      <c r="BD257" s="8"/>
      <c r="BE257" s="8"/>
      <c r="BF257" s="8"/>
      <c r="BG257" s="8"/>
      <c r="BH257" s="8"/>
      <c r="BI257" s="8"/>
    </row>
    <row r="258" spans="1:61" s="7" customFormat="1" x14ac:dyDescent="0.2">
      <c r="A258" s="118"/>
      <c r="B258" s="118" t="str">
        <f t="shared" si="69"/>
        <v>FOOD &amp; GROCERY STORE EXPENSES</v>
      </c>
      <c r="C258" s="204">
        <v>0.2</v>
      </c>
      <c r="D258" s="204">
        <v>0.2</v>
      </c>
      <c r="E258" s="118"/>
      <c r="F258" s="163"/>
      <c r="G258" s="163"/>
      <c r="H258" s="163"/>
      <c r="I258" s="163"/>
      <c r="J258" s="163"/>
      <c r="K258" s="163">
        <f t="shared" ref="K258:K264" si="70">IF(L258&lt;-0.0075, 1, 0)</f>
        <v>0</v>
      </c>
      <c r="L258" s="197" t="str">
        <f t="shared" si="68"/>
        <v/>
      </c>
      <c r="M258" s="198" t="str">
        <f t="shared" si="67"/>
        <v/>
      </c>
      <c r="N258" s="168"/>
      <c r="O258" s="109" t="str">
        <f>O72</f>
        <v>FOOD &amp; GROCERY STORE EXPENSES</v>
      </c>
      <c r="P258" s="109"/>
      <c r="Q258" s="109"/>
      <c r="R258" s="109"/>
      <c r="S258" s="109"/>
      <c r="T258" s="287">
        <v>0.1</v>
      </c>
      <c r="U258" s="287"/>
      <c r="V258" s="287">
        <v>0.2</v>
      </c>
      <c r="W258" s="287"/>
      <c r="X258" s="110" t="str">
        <f t="shared" ref="X258:X264" si="71">L246</f>
        <v/>
      </c>
      <c r="Y258" s="86"/>
      <c r="Z258" s="86"/>
      <c r="AA258" s="1"/>
      <c r="AB258" s="14"/>
      <c r="AC258" s="14"/>
      <c r="AD258" s="14"/>
      <c r="AE258" s="14"/>
      <c r="AF258" s="14"/>
      <c r="AG258" s="14"/>
      <c r="AH258" s="1"/>
      <c r="AI258" s="14"/>
      <c r="AJ258" s="15"/>
      <c r="AK258" s="14"/>
      <c r="AL258" s="1"/>
      <c r="AM258" s="1"/>
      <c r="AN258" s="1"/>
      <c r="AO258" s="1"/>
      <c r="AP258" s="1"/>
      <c r="AQ258" s="1"/>
      <c r="AR258" s="8"/>
      <c r="AS258" s="8"/>
      <c r="AT258" s="8"/>
      <c r="AU258" s="8"/>
      <c r="AV258" s="8"/>
      <c r="AW258" s="8"/>
      <c r="AX258" s="8"/>
      <c r="AY258" s="8"/>
      <c r="AZ258" s="8"/>
      <c r="BA258" s="8"/>
      <c r="BB258" s="8"/>
      <c r="BC258" s="8"/>
      <c r="BD258" s="8"/>
      <c r="BE258" s="8"/>
      <c r="BF258" s="8"/>
      <c r="BG258" s="8"/>
      <c r="BH258" s="8"/>
      <c r="BI258" s="8"/>
    </row>
    <row r="259" spans="1:61" s="7" customFormat="1" x14ac:dyDescent="0.2">
      <c r="A259" s="118"/>
      <c r="B259" s="118" t="str">
        <f t="shared" si="69"/>
        <v>TRANSPORTATION</v>
      </c>
      <c r="C259" s="204">
        <v>0.2</v>
      </c>
      <c r="D259" s="204">
        <v>0.2</v>
      </c>
      <c r="E259" s="118"/>
      <c r="F259" s="163"/>
      <c r="G259" s="163"/>
      <c r="H259" s="163"/>
      <c r="I259" s="163"/>
      <c r="J259" s="163"/>
      <c r="K259" s="163">
        <f t="shared" si="70"/>
        <v>0</v>
      </c>
      <c r="L259" s="197" t="str">
        <f t="shared" si="68"/>
        <v/>
      </c>
      <c r="M259" s="198" t="str">
        <f t="shared" si="67"/>
        <v/>
      </c>
      <c r="N259" s="168"/>
      <c r="O259" s="107" t="str">
        <f>O83</f>
        <v>TRANSPORTATION</v>
      </c>
      <c r="P259" s="107"/>
      <c r="Q259" s="107"/>
      <c r="R259" s="107"/>
      <c r="S259" s="107"/>
      <c r="T259" s="299">
        <v>0.15</v>
      </c>
      <c r="U259" s="299"/>
      <c r="V259" s="299">
        <v>0.2</v>
      </c>
      <c r="W259" s="299"/>
      <c r="X259" s="108" t="str">
        <f t="shared" si="71"/>
        <v/>
      </c>
      <c r="Y259" s="86"/>
      <c r="Z259" s="86"/>
      <c r="AA259" s="1"/>
      <c r="AB259" s="14"/>
      <c r="AC259" s="14"/>
      <c r="AD259" s="14"/>
      <c r="AE259" s="14"/>
      <c r="AF259" s="14"/>
      <c r="AG259" s="14"/>
      <c r="AH259" s="1"/>
      <c r="AI259" s="14"/>
      <c r="AJ259" s="15"/>
      <c r="AK259" s="14"/>
      <c r="AL259" s="1"/>
      <c r="AM259" s="1"/>
      <c r="AN259" s="1"/>
      <c r="AO259" s="1"/>
      <c r="AP259" s="1"/>
      <c r="AQ259" s="1"/>
      <c r="AR259" s="8"/>
      <c r="AS259" s="8"/>
      <c r="AT259" s="8"/>
      <c r="AU259" s="8"/>
      <c r="AV259" s="8"/>
      <c r="AW259" s="8"/>
      <c r="AX259" s="8"/>
      <c r="AY259" s="8"/>
      <c r="AZ259" s="8"/>
      <c r="BA259" s="8"/>
      <c r="BB259" s="8"/>
      <c r="BC259" s="8"/>
      <c r="BD259" s="8"/>
      <c r="BE259" s="8"/>
      <c r="BF259" s="8"/>
      <c r="BG259" s="8"/>
      <c r="BH259" s="8"/>
      <c r="BI259" s="8"/>
    </row>
    <row r="260" spans="1:61" s="7" customFormat="1" x14ac:dyDescent="0.2">
      <c r="A260" s="118"/>
      <c r="B260" s="118" t="str">
        <f t="shared" si="69"/>
        <v>CLOTHING</v>
      </c>
      <c r="C260" s="204">
        <v>0.05</v>
      </c>
      <c r="D260" s="204">
        <v>0.05</v>
      </c>
      <c r="E260" s="118"/>
      <c r="F260" s="163"/>
      <c r="G260" s="163"/>
      <c r="H260" s="163"/>
      <c r="I260" s="163"/>
      <c r="J260" s="163"/>
      <c r="K260" s="163">
        <f t="shared" si="70"/>
        <v>0</v>
      </c>
      <c r="L260" s="197" t="str">
        <f t="shared" si="68"/>
        <v/>
      </c>
      <c r="M260" s="198" t="str">
        <f t="shared" si="67"/>
        <v/>
      </c>
      <c r="N260" s="168"/>
      <c r="O260" s="109" t="str">
        <f>O98</f>
        <v>CLOTHING</v>
      </c>
      <c r="P260" s="109"/>
      <c r="Q260" s="109"/>
      <c r="R260" s="109"/>
      <c r="S260" s="109"/>
      <c r="T260" s="287">
        <v>0.03</v>
      </c>
      <c r="U260" s="287"/>
      <c r="V260" s="287">
        <v>0.05</v>
      </c>
      <c r="W260" s="287"/>
      <c r="X260" s="110" t="str">
        <f>L248</f>
        <v/>
      </c>
      <c r="Y260" s="86"/>
      <c r="Z260" s="86"/>
      <c r="AA260" s="1"/>
      <c r="AB260" s="14"/>
      <c r="AC260" s="14"/>
      <c r="AD260" s="14"/>
      <c r="AE260" s="14"/>
      <c r="AF260" s="14"/>
      <c r="AG260" s="14"/>
      <c r="AH260" s="1"/>
      <c r="AI260" s="14"/>
      <c r="AJ260" s="15"/>
      <c r="AK260" s="14"/>
      <c r="AL260" s="1"/>
      <c r="AM260" s="1"/>
      <c r="AN260" s="1"/>
      <c r="AO260" s="1"/>
      <c r="AP260" s="1"/>
      <c r="AQ260" s="1"/>
      <c r="AR260" s="8"/>
      <c r="AS260" s="8"/>
      <c r="AT260" s="8"/>
      <c r="AU260" s="8"/>
      <c r="AV260" s="8"/>
      <c r="AW260" s="8"/>
      <c r="AX260" s="8"/>
      <c r="AY260" s="8"/>
      <c r="AZ260" s="8"/>
      <c r="BA260" s="8"/>
      <c r="BB260" s="8"/>
      <c r="BC260" s="8"/>
      <c r="BD260" s="8"/>
      <c r="BE260" s="8"/>
      <c r="BF260" s="8"/>
      <c r="BG260" s="8"/>
      <c r="BH260" s="8"/>
      <c r="BI260" s="8"/>
    </row>
    <row r="261" spans="1:61" s="7" customFormat="1" x14ac:dyDescent="0.2">
      <c r="A261" s="118"/>
      <c r="B261" s="118" t="str">
        <f t="shared" si="69"/>
        <v>MEDICAL</v>
      </c>
      <c r="C261" s="203">
        <v>0.03</v>
      </c>
      <c r="D261" s="203">
        <v>0.03</v>
      </c>
      <c r="E261" s="118"/>
      <c r="F261" s="163"/>
      <c r="G261" s="163"/>
      <c r="H261" s="163"/>
      <c r="I261" s="163"/>
      <c r="J261" s="163"/>
      <c r="K261" s="163">
        <f t="shared" si="70"/>
        <v>0</v>
      </c>
      <c r="L261" s="197" t="str">
        <f t="shared" si="68"/>
        <v/>
      </c>
      <c r="M261" s="198" t="str">
        <f t="shared" si="67"/>
        <v/>
      </c>
      <c r="N261" s="168" t="str">
        <f>IF(V261=0.03,"No","Changed")</f>
        <v>No</v>
      </c>
      <c r="O261" s="47" t="str">
        <f>O110</f>
        <v>MEDICAL</v>
      </c>
      <c r="P261" s="47"/>
      <c r="Q261" s="47"/>
      <c r="R261" s="47"/>
      <c r="S261" s="47"/>
      <c r="T261" s="308" t="s">
        <v>223</v>
      </c>
      <c r="U261" s="308"/>
      <c r="V261" s="291">
        <v>0.03</v>
      </c>
      <c r="W261" s="291"/>
      <c r="X261" s="111" t="str">
        <f t="shared" si="71"/>
        <v/>
      </c>
      <c r="Y261" s="86"/>
      <c r="Z261" s="86"/>
      <c r="AA261" s="1"/>
      <c r="AB261" s="14"/>
      <c r="AC261" s="14"/>
      <c r="AD261" s="14"/>
      <c r="AE261" s="14"/>
      <c r="AF261" s="14"/>
      <c r="AG261" s="14"/>
      <c r="AH261" s="1"/>
      <c r="AI261" s="14"/>
      <c r="AJ261" s="15"/>
      <c r="AK261" s="14"/>
      <c r="AL261" s="1"/>
      <c r="AM261" s="1"/>
      <c r="AN261" s="1"/>
      <c r="AO261" s="1"/>
      <c r="AP261" s="1"/>
      <c r="AQ261" s="1"/>
      <c r="AR261" s="8"/>
      <c r="AS261" s="8"/>
      <c r="AT261" s="8"/>
      <c r="AU261" s="8"/>
      <c r="AV261" s="8"/>
      <c r="AW261" s="8"/>
      <c r="AX261" s="8"/>
      <c r="AY261" s="8"/>
      <c r="AZ261" s="8"/>
      <c r="BA261" s="8"/>
      <c r="BB261" s="8"/>
      <c r="BC261" s="8"/>
      <c r="BD261" s="8"/>
      <c r="BE261" s="8"/>
      <c r="BF261" s="8"/>
      <c r="BG261" s="8"/>
      <c r="BH261" s="8"/>
      <c r="BI261" s="8"/>
    </row>
    <row r="262" spans="1:61" s="7" customFormat="1" x14ac:dyDescent="0.2">
      <c r="A262" s="118"/>
      <c r="B262" s="118" t="str">
        <f t="shared" si="69"/>
        <v>PERSONAL EXPENSES</v>
      </c>
      <c r="C262" s="203">
        <f>ROUND(0.1+C269+C270,2)</f>
        <v>0.1</v>
      </c>
      <c r="D262" s="203">
        <f>ROUND(0.2+D269+D270,2)</f>
        <v>0.2</v>
      </c>
      <c r="E262" s="118"/>
      <c r="F262" s="163"/>
      <c r="G262" s="163"/>
      <c r="H262" s="163"/>
      <c r="I262" s="163"/>
      <c r="J262" s="163"/>
      <c r="K262" s="163">
        <f>IF(L262&lt;-0.0075, 1, 0)</f>
        <v>0</v>
      </c>
      <c r="L262" s="197" t="str">
        <f t="shared" si="68"/>
        <v/>
      </c>
      <c r="M262" s="198" t="str">
        <f t="shared" si="67"/>
        <v/>
      </c>
      <c r="N262" s="168" t="str">
        <f>IF(AND(T262=0.05,V262=0.1),"No","Changed")</f>
        <v>No</v>
      </c>
      <c r="O262" s="46" t="str">
        <f>O130</f>
        <v>PERSONAL EXPENSES</v>
      </c>
      <c r="P262" s="46"/>
      <c r="Q262" s="46"/>
      <c r="R262" s="46"/>
      <c r="S262" s="46"/>
      <c r="T262" s="292">
        <v>0.05</v>
      </c>
      <c r="U262" s="292"/>
      <c r="V262" s="292">
        <f>IF(D2=1,C262, IF(D3=1,D262,C262))</f>
        <v>0.1</v>
      </c>
      <c r="W262" s="292"/>
      <c r="X262" s="106" t="str">
        <f>L250</f>
        <v/>
      </c>
      <c r="Y262" s="86"/>
      <c r="Z262" s="86"/>
      <c r="AA262" s="1"/>
      <c r="AB262" s="14"/>
      <c r="AC262" s="14"/>
      <c r="AD262" s="14"/>
      <c r="AE262" s="14"/>
      <c r="AF262" s="14"/>
      <c r="AG262" s="14"/>
      <c r="AH262" s="1"/>
      <c r="AI262" s="14"/>
      <c r="AJ262" s="15"/>
      <c r="AK262" s="14"/>
      <c r="AL262" s="1"/>
      <c r="AM262" s="1"/>
      <c r="AN262" s="1"/>
      <c r="AO262" s="1"/>
      <c r="AP262" s="1"/>
      <c r="AQ262" s="1"/>
      <c r="AR262" s="8"/>
      <c r="AS262" s="8"/>
      <c r="AT262" s="8"/>
      <c r="AU262" s="8"/>
      <c r="AV262" s="8"/>
      <c r="AW262" s="8"/>
      <c r="AX262" s="8"/>
      <c r="AY262" s="8"/>
      <c r="AZ262" s="8"/>
      <c r="BA262" s="8"/>
      <c r="BB262" s="8"/>
      <c r="BC262" s="8"/>
      <c r="BD262" s="8"/>
      <c r="BE262" s="8"/>
      <c r="BF262" s="8"/>
      <c r="BG262" s="8"/>
      <c r="BH262" s="8"/>
      <c r="BI262" s="8"/>
    </row>
    <row r="263" spans="1:61" s="7" customFormat="1" x14ac:dyDescent="0.2">
      <c r="A263" s="118"/>
      <c r="B263" s="118" t="str">
        <f t="shared" si="69"/>
        <v>SAVINGS</v>
      </c>
      <c r="C263" s="203">
        <v>0.1</v>
      </c>
      <c r="D263" s="203">
        <v>0.1</v>
      </c>
      <c r="E263" s="118"/>
      <c r="F263" s="163"/>
      <c r="G263" s="163"/>
      <c r="H263" s="163"/>
      <c r="I263" s="163"/>
      <c r="J263" s="163"/>
      <c r="K263" s="163">
        <f t="shared" si="70"/>
        <v>0</v>
      </c>
      <c r="L263" s="197" t="str">
        <f t="shared" si="68"/>
        <v/>
      </c>
      <c r="M263" s="198" t="str">
        <f t="shared" si="67"/>
        <v/>
      </c>
      <c r="N263" s="168" t="str">
        <f>IF(AND(T263=0.05,V263=0.1),"No","Changed")</f>
        <v>No</v>
      </c>
      <c r="O263" s="47" t="s">
        <v>224</v>
      </c>
      <c r="P263" s="47"/>
      <c r="Q263" s="47"/>
      <c r="R263" s="47"/>
      <c r="S263" s="47"/>
      <c r="T263" s="291">
        <v>0.05</v>
      </c>
      <c r="U263" s="291"/>
      <c r="V263" s="291">
        <v>0.1</v>
      </c>
      <c r="W263" s="291"/>
      <c r="X263" s="111" t="str">
        <f>L251</f>
        <v/>
      </c>
      <c r="Y263" s="86"/>
      <c r="Z263" s="86"/>
      <c r="AA263" s="1"/>
      <c r="AB263" s="14"/>
      <c r="AC263" s="14"/>
      <c r="AD263" s="14"/>
      <c r="AE263" s="14"/>
      <c r="AF263" s="14"/>
      <c r="AG263" s="14"/>
      <c r="AH263" s="14"/>
      <c r="AI263" s="14"/>
      <c r="AJ263" s="15"/>
      <c r="AK263" s="14"/>
      <c r="AL263" s="1"/>
      <c r="AM263" s="1"/>
      <c r="AN263" s="1"/>
      <c r="AO263" s="1"/>
      <c r="AP263" s="1"/>
      <c r="AQ263" s="1"/>
      <c r="AR263" s="8"/>
      <c r="AS263" s="8"/>
      <c r="AT263" s="8"/>
      <c r="AU263" s="8"/>
      <c r="AV263" s="8"/>
      <c r="AW263" s="8"/>
      <c r="AX263" s="8"/>
      <c r="AY263" s="8"/>
      <c r="AZ263" s="8"/>
      <c r="BA263" s="8"/>
      <c r="BB263" s="8"/>
      <c r="BC263" s="8"/>
      <c r="BD263" s="8"/>
      <c r="BE263" s="8"/>
      <c r="BF263" s="8"/>
      <c r="BG263" s="8"/>
      <c r="BH263" s="8"/>
      <c r="BI263" s="8"/>
    </row>
    <row r="264" spans="1:61" s="7" customFormat="1" x14ac:dyDescent="0.2">
      <c r="A264" s="118"/>
      <c r="B264" s="118" t="str">
        <f t="shared" si="69"/>
        <v>DEBT PAYMENTS</v>
      </c>
      <c r="C264" s="204">
        <v>0.15</v>
      </c>
      <c r="D264" s="204">
        <v>0.15</v>
      </c>
      <c r="E264" s="118"/>
      <c r="F264" s="163"/>
      <c r="G264" s="163"/>
      <c r="H264" s="163"/>
      <c r="I264" s="163"/>
      <c r="J264" s="163"/>
      <c r="K264" s="163">
        <f t="shared" si="70"/>
        <v>0</v>
      </c>
      <c r="L264" s="197" t="str">
        <f t="shared" si="68"/>
        <v/>
      </c>
      <c r="M264" s="163"/>
      <c r="N264" s="163"/>
      <c r="O264" s="109" t="str">
        <f>O186</f>
        <v>DEBT PAYMENTS</v>
      </c>
      <c r="P264" s="109"/>
      <c r="Q264" s="109"/>
      <c r="R264" s="109"/>
      <c r="S264" s="109"/>
      <c r="T264" s="287">
        <v>0.05</v>
      </c>
      <c r="U264" s="287"/>
      <c r="V264" s="287">
        <v>0.15</v>
      </c>
      <c r="W264" s="287"/>
      <c r="X264" s="110" t="str">
        <f t="shared" si="71"/>
        <v/>
      </c>
      <c r="Y264" s="86"/>
      <c r="Z264" s="86"/>
      <c r="AA264" s="1"/>
      <c r="AB264" s="1"/>
      <c r="AC264" s="1"/>
      <c r="AD264" s="1"/>
      <c r="AE264" s="1"/>
      <c r="AF264" s="14"/>
      <c r="AG264" s="1"/>
      <c r="AH264" s="1"/>
      <c r="AI264" s="1"/>
      <c r="AJ264" s="1"/>
      <c r="AK264" s="1"/>
      <c r="AL264" s="1"/>
      <c r="AM264" s="1"/>
      <c r="AN264" s="1"/>
      <c r="AO264" s="1"/>
      <c r="AP264" s="1"/>
      <c r="AQ264" s="1"/>
      <c r="AR264" s="8"/>
      <c r="AS264" s="8"/>
      <c r="AT264" s="8"/>
      <c r="AU264" s="8"/>
      <c r="AV264" s="8"/>
      <c r="AW264" s="8"/>
      <c r="AX264" s="8"/>
      <c r="AY264" s="8"/>
      <c r="AZ264" s="8"/>
      <c r="BA264" s="8"/>
      <c r="BB264" s="8"/>
      <c r="BC264" s="8"/>
      <c r="BD264" s="8"/>
      <c r="BE264" s="8"/>
      <c r="BF264" s="8"/>
      <c r="BG264" s="8"/>
      <c r="BH264" s="8"/>
      <c r="BI264" s="8"/>
    </row>
    <row r="265" spans="1:61" s="7" customFormat="1" x14ac:dyDescent="0.2">
      <c r="A265" s="118"/>
      <c r="B265" s="205"/>
      <c r="C265" s="205">
        <f>SUM(C256:C264)</f>
        <v>1.23</v>
      </c>
      <c r="D265" s="205">
        <f>SUM(D256:D264)</f>
        <v>1.33</v>
      </c>
      <c r="E265" s="118"/>
      <c r="F265" s="163"/>
      <c r="G265" s="163"/>
      <c r="H265" s="163"/>
      <c r="I265" s="163"/>
      <c r="J265" s="163"/>
      <c r="K265" s="163"/>
      <c r="L265" s="163"/>
      <c r="M265" s="163"/>
      <c r="N265" s="163"/>
      <c r="O265" s="86"/>
      <c r="P265" s="86"/>
      <c r="Q265" s="86"/>
      <c r="R265" s="86"/>
      <c r="S265" s="86"/>
      <c r="T265" s="86"/>
      <c r="U265" s="86"/>
      <c r="V265" s="86"/>
      <c r="W265" s="86"/>
      <c r="X265" s="86"/>
      <c r="Y265" s="86"/>
      <c r="Z265" s="86"/>
      <c r="AA265" s="1"/>
      <c r="AB265" s="1"/>
      <c r="AC265" s="1"/>
      <c r="AD265" s="1"/>
      <c r="AE265" s="1"/>
      <c r="AF265" s="1"/>
      <c r="AG265" s="1"/>
      <c r="AH265" s="1"/>
      <c r="AI265" s="1"/>
      <c r="AJ265" s="1"/>
      <c r="AK265" s="1"/>
      <c r="AL265" s="1"/>
      <c r="AM265" s="1"/>
      <c r="AN265" s="1"/>
      <c r="AO265" s="1"/>
      <c r="AP265" s="1"/>
      <c r="AQ265" s="1"/>
      <c r="AR265" s="8"/>
      <c r="AS265" s="8"/>
      <c r="AT265" s="8"/>
      <c r="AU265" s="8"/>
      <c r="AV265" s="8"/>
      <c r="AW265" s="8"/>
      <c r="AX265" s="8"/>
      <c r="AY265" s="8"/>
      <c r="AZ265" s="8"/>
      <c r="BA265" s="8"/>
      <c r="BB265" s="8"/>
      <c r="BC265" s="8"/>
      <c r="BD265" s="8"/>
      <c r="BE265" s="8"/>
      <c r="BF265" s="8"/>
      <c r="BG265" s="8"/>
      <c r="BH265" s="8"/>
      <c r="BI265" s="8"/>
    </row>
    <row r="266" spans="1:61" s="7" customFormat="1" x14ac:dyDescent="0.2">
      <c r="A266" s="118"/>
      <c r="B266" s="118" t="s">
        <v>360</v>
      </c>
      <c r="C266" s="118"/>
      <c r="D266" s="118"/>
      <c r="E266" s="118"/>
      <c r="F266" s="163"/>
      <c r="G266" s="163"/>
      <c r="H266" s="163"/>
      <c r="I266" s="163"/>
      <c r="J266" s="163"/>
      <c r="K266" s="163"/>
      <c r="L266" s="163"/>
      <c r="M266" s="163"/>
      <c r="N266" s="163"/>
      <c r="O266" s="86"/>
      <c r="P266" s="86"/>
      <c r="Q266" s="86"/>
      <c r="R266" s="86"/>
      <c r="S266" s="86"/>
      <c r="T266" s="86"/>
      <c r="U266" s="86"/>
      <c r="V266" s="86"/>
      <c r="W266" s="86"/>
      <c r="X266" s="86"/>
      <c r="Y266" s="86"/>
      <c r="Z266" s="86"/>
      <c r="AA266" s="1"/>
      <c r="AB266" s="16"/>
      <c r="AC266" s="14"/>
      <c r="AD266" s="14"/>
      <c r="AE266" s="14"/>
      <c r="AF266" s="1"/>
      <c r="AG266" s="1"/>
      <c r="AH266" s="1"/>
      <c r="AI266" s="1"/>
      <c r="AJ266" s="1"/>
      <c r="AK266" s="1"/>
      <c r="AL266" s="1"/>
      <c r="AM266" s="1"/>
      <c r="AN266" s="1"/>
      <c r="AO266" s="1"/>
      <c r="AP266" s="1"/>
      <c r="AQ266" s="1"/>
      <c r="AR266" s="8"/>
      <c r="AS266" s="8"/>
      <c r="AT266" s="8"/>
      <c r="AU266" s="8"/>
      <c r="AV266" s="8"/>
      <c r="AW266" s="8"/>
      <c r="AX266" s="8"/>
      <c r="AY266" s="8"/>
      <c r="AZ266" s="8"/>
      <c r="BA266" s="8"/>
      <c r="BB266" s="8"/>
      <c r="BC266" s="8"/>
      <c r="BD266" s="8"/>
      <c r="BE266" s="8"/>
      <c r="BF266" s="8"/>
      <c r="BG266" s="8"/>
      <c r="BH266" s="8"/>
      <c r="BI266" s="8"/>
    </row>
    <row r="267" spans="1:61" s="7" customFormat="1" x14ac:dyDescent="0.2">
      <c r="A267" s="118"/>
      <c r="B267" s="118"/>
      <c r="C267" s="206"/>
      <c r="D267" s="206"/>
      <c r="E267" s="118"/>
      <c r="F267" s="163"/>
      <c r="G267" s="163"/>
      <c r="H267" s="163"/>
      <c r="I267" s="163"/>
      <c r="J267" s="163"/>
      <c r="K267" s="163"/>
      <c r="L267" s="163"/>
      <c r="M267" s="163"/>
      <c r="N267" s="163"/>
      <c r="O267" s="86"/>
      <c r="P267" s="86"/>
      <c r="Q267" s="86"/>
      <c r="R267" s="86"/>
      <c r="S267" s="86"/>
      <c r="T267" s="86"/>
      <c r="U267" s="86"/>
      <c r="V267" s="86"/>
      <c r="W267" s="86"/>
      <c r="X267" s="86"/>
      <c r="Y267" s="86"/>
      <c r="Z267" s="86"/>
      <c r="AA267" s="1"/>
      <c r="AB267" s="16"/>
      <c r="AC267" s="14"/>
      <c r="AD267" s="14"/>
      <c r="AE267" s="14"/>
      <c r="AF267" s="1"/>
      <c r="AG267" s="1"/>
      <c r="AH267" s="1"/>
      <c r="AI267" s="1"/>
      <c r="AJ267" s="1"/>
      <c r="AK267" s="1"/>
      <c r="AL267" s="1"/>
      <c r="AM267" s="1"/>
      <c r="AN267" s="1"/>
      <c r="AO267" s="1"/>
      <c r="AP267" s="1"/>
      <c r="AQ267" s="1"/>
      <c r="AR267" s="8"/>
      <c r="AS267" s="8"/>
      <c r="AT267" s="8"/>
      <c r="AU267" s="8"/>
      <c r="AV267" s="8"/>
      <c r="AW267" s="8"/>
      <c r="AX267" s="8"/>
      <c r="AY267" s="8"/>
      <c r="AZ267" s="8"/>
      <c r="BA267" s="8"/>
      <c r="BB267" s="8"/>
      <c r="BC267" s="8"/>
      <c r="BD267" s="8"/>
      <c r="BE267" s="8"/>
      <c r="BF267" s="8"/>
      <c r="BG267" s="8"/>
      <c r="BH267" s="8"/>
      <c r="BI267" s="8"/>
    </row>
    <row r="268" spans="1:61" s="7" customFormat="1" ht="15.75" x14ac:dyDescent="0.25">
      <c r="A268" s="118"/>
      <c r="B268" s="118"/>
      <c r="C268" s="206"/>
      <c r="D268" s="206"/>
      <c r="E268" s="118"/>
      <c r="F268" s="163"/>
      <c r="G268" s="163"/>
      <c r="H268" s="163"/>
      <c r="I268" s="163"/>
      <c r="J268" s="163"/>
      <c r="K268" s="163"/>
      <c r="L268" s="163"/>
      <c r="M268" s="163"/>
      <c r="N268" s="163"/>
      <c r="O268" s="112" t="s">
        <v>305</v>
      </c>
      <c r="P268" s="112"/>
      <c r="Q268" s="112"/>
      <c r="R268" s="112"/>
      <c r="S268" s="112"/>
      <c r="T268" s="38"/>
      <c r="U268" s="38"/>
      <c r="V268" s="38"/>
      <c r="W268" s="38"/>
      <c r="X268" s="38"/>
      <c r="Y268" s="86"/>
      <c r="Z268" s="86"/>
      <c r="AA268" s="1"/>
      <c r="AB268" s="16"/>
      <c r="AC268" s="14"/>
      <c r="AD268" s="14"/>
      <c r="AE268" s="14"/>
      <c r="AF268" s="1"/>
      <c r="AG268" s="1"/>
      <c r="AH268" s="1"/>
      <c r="AI268" s="1"/>
      <c r="AJ268" s="1"/>
      <c r="AK268" s="1"/>
      <c r="AL268" s="1"/>
      <c r="AM268" s="1"/>
      <c r="AN268" s="1"/>
      <c r="AO268" s="1"/>
      <c r="AP268" s="1"/>
      <c r="AQ268" s="1"/>
      <c r="AR268" s="8"/>
      <c r="AS268" s="8"/>
      <c r="AT268" s="8"/>
      <c r="AU268" s="8"/>
      <c r="AV268" s="8"/>
      <c r="AW268" s="8"/>
      <c r="AX268" s="8"/>
      <c r="AY268" s="8"/>
      <c r="AZ268" s="8"/>
      <c r="BA268" s="8"/>
      <c r="BB268" s="8"/>
      <c r="BC268" s="8"/>
      <c r="BD268" s="8"/>
      <c r="BE268" s="8"/>
      <c r="BF268" s="8"/>
      <c r="BG268" s="8"/>
      <c r="BH268" s="8"/>
      <c r="BI268" s="8"/>
    </row>
    <row r="269" spans="1:61" s="7" customFormat="1" x14ac:dyDescent="0.2">
      <c r="A269" s="118"/>
      <c r="B269" s="118" t="s">
        <v>12</v>
      </c>
      <c r="C269" s="206">
        <f>IF(T134&gt;0, IF(AND(T134&gt;0,T134&lt;J131),T134/T37,J131/T37), 0)</f>
        <v>0</v>
      </c>
      <c r="D269" s="206">
        <f>IF(T134&gt;0, IF(AND(T134&gt;0,T134&lt;J131),T134/T37,J131/T37), 0)</f>
        <v>0</v>
      </c>
      <c r="E269" s="118"/>
      <c r="F269" s="163"/>
      <c r="G269" s="163"/>
      <c r="H269" s="163"/>
      <c r="I269" s="163"/>
      <c r="J269" s="163"/>
      <c r="K269" s="163"/>
      <c r="L269" s="163"/>
      <c r="M269" s="163"/>
      <c r="N269" s="163"/>
      <c r="O269" s="230" t="s">
        <v>310</v>
      </c>
      <c r="P269" s="230"/>
      <c r="Q269" s="230"/>
      <c r="R269" s="230"/>
      <c r="S269" s="230"/>
      <c r="T269" s="230"/>
      <c r="U269" s="230"/>
      <c r="V269" s="230"/>
      <c r="W269" s="230"/>
      <c r="X269" s="230"/>
      <c r="Y269" s="86"/>
      <c r="Z269" s="86"/>
      <c r="AA269" s="1"/>
      <c r="AB269" s="16"/>
      <c r="AC269" s="14"/>
      <c r="AD269" s="14"/>
      <c r="AE269" s="14"/>
      <c r="AF269" s="1"/>
      <c r="AG269" s="1"/>
      <c r="AH269" s="1"/>
      <c r="AI269" s="1"/>
      <c r="AJ269" s="1"/>
      <c r="AK269" s="1"/>
      <c r="AL269" s="1"/>
      <c r="AM269" s="1"/>
      <c r="AN269" s="1"/>
      <c r="AO269" s="1"/>
      <c r="AP269" s="1"/>
      <c r="AQ269" s="1"/>
      <c r="AR269" s="8"/>
      <c r="AS269" s="8"/>
      <c r="AT269" s="8"/>
      <c r="AU269" s="8"/>
      <c r="AV269" s="8"/>
      <c r="AW269" s="8"/>
      <c r="AX269" s="8"/>
      <c r="AY269" s="8"/>
      <c r="AZ269" s="8"/>
      <c r="BA269" s="8"/>
      <c r="BB269" s="8"/>
      <c r="BC269" s="8"/>
      <c r="BD269" s="8"/>
      <c r="BE269" s="8"/>
      <c r="BF269" s="8"/>
      <c r="BG269" s="8"/>
      <c r="BH269" s="8"/>
      <c r="BI269" s="8"/>
    </row>
    <row r="270" spans="1:61" s="7" customFormat="1" x14ac:dyDescent="0.2">
      <c r="A270" s="118"/>
      <c r="B270" s="118" t="s">
        <v>361</v>
      </c>
      <c r="C270" s="206">
        <f>IF(AND(AF152="Yes",T152&gt;0,AF154&gt;0,AF154&lt;=25%),AF154, IF(AND(AF152="Yes",T152&gt;0,AF154&gt;25%), 25%, 0))</f>
        <v>0</v>
      </c>
      <c r="D270" s="206">
        <f>IF(AND(AF152="Yes",T152&gt;0,AF154&gt;0,AF154&lt;=30%),AF154, IF(AND(AF152="Yes",T152&gt;0,AF154&gt;30%), 30%, 0))</f>
        <v>0</v>
      </c>
      <c r="E270" s="118"/>
      <c r="F270" s="163"/>
      <c r="G270" s="163"/>
      <c r="H270" s="163"/>
      <c r="I270" s="163"/>
      <c r="J270" s="163"/>
      <c r="K270" s="163"/>
      <c r="L270" s="163"/>
      <c r="M270" s="163"/>
      <c r="N270" s="163"/>
      <c r="O270" s="38" t="s">
        <v>309</v>
      </c>
      <c r="P270" s="38"/>
      <c r="Q270" s="38"/>
      <c r="R270" s="38"/>
      <c r="S270" s="38"/>
      <c r="T270" s="307" t="s">
        <v>306</v>
      </c>
      <c r="U270" s="307"/>
      <c r="V270" s="307"/>
      <c r="W270" s="307"/>
      <c r="X270" s="38"/>
      <c r="Y270" s="86"/>
      <c r="Z270" s="86"/>
      <c r="AA270" s="16"/>
      <c r="AB270" s="16"/>
      <c r="AC270" s="14"/>
      <c r="AD270" s="14"/>
      <c r="AE270" s="14"/>
      <c r="AF270" s="1"/>
      <c r="AG270" s="1"/>
      <c r="AH270" s="1"/>
      <c r="AI270" s="1"/>
      <c r="AJ270" s="1"/>
      <c r="AK270" s="1"/>
      <c r="AL270" s="1"/>
      <c r="AM270" s="1"/>
      <c r="AN270" s="1"/>
      <c r="AO270" s="1"/>
      <c r="AP270" s="1"/>
      <c r="AQ270" s="1"/>
      <c r="AR270" s="8"/>
      <c r="AS270" s="8"/>
      <c r="AT270" s="8"/>
      <c r="AU270" s="8"/>
      <c r="AV270" s="8"/>
      <c r="AW270" s="8"/>
      <c r="AX270" s="8"/>
      <c r="AY270" s="8"/>
      <c r="AZ270" s="8"/>
      <c r="BA270" s="8"/>
      <c r="BB270" s="8"/>
      <c r="BC270" s="8"/>
      <c r="BD270" s="8"/>
      <c r="BE270" s="8"/>
      <c r="BF270" s="8"/>
      <c r="BG270" s="8"/>
      <c r="BH270" s="8"/>
      <c r="BI270" s="8"/>
    </row>
    <row r="271" spans="1:61" s="7" customFormat="1" x14ac:dyDescent="0.2">
      <c r="A271" s="118"/>
      <c r="B271" s="118"/>
      <c r="C271" s="206"/>
      <c r="D271" s="206"/>
      <c r="E271" s="118"/>
      <c r="F271" s="163"/>
      <c r="G271" s="163"/>
      <c r="H271" s="163"/>
      <c r="I271" s="163"/>
      <c r="J271" s="163"/>
      <c r="K271" s="163"/>
      <c r="L271" s="163"/>
      <c r="M271" s="163" t="s">
        <v>7</v>
      </c>
      <c r="N271" s="163"/>
      <c r="O271" s="8"/>
      <c r="P271" s="8"/>
      <c r="Q271" s="8"/>
      <c r="R271" s="8"/>
      <c r="S271" s="8"/>
      <c r="T271" s="1"/>
      <c r="U271" s="1"/>
      <c r="V271" s="1"/>
      <c r="W271" s="1"/>
      <c r="X271" s="1"/>
      <c r="Y271" s="1"/>
      <c r="Z271" s="1"/>
      <c r="AA271" s="16"/>
      <c r="AB271" s="16"/>
      <c r="AC271" s="14"/>
      <c r="AD271" s="14"/>
      <c r="AE271" s="14"/>
      <c r="AF271" s="1"/>
      <c r="AG271" s="1"/>
      <c r="AH271" s="1"/>
      <c r="AI271" s="1"/>
      <c r="AJ271" s="1"/>
      <c r="AK271" s="1"/>
      <c r="AL271" s="1"/>
      <c r="AM271" s="1"/>
      <c r="AN271" s="1"/>
      <c r="AO271" s="1"/>
      <c r="AP271" s="1"/>
      <c r="AQ271" s="1"/>
      <c r="AR271" s="8"/>
      <c r="AS271" s="8"/>
      <c r="AT271" s="8"/>
      <c r="AU271" s="8"/>
      <c r="AV271" s="8"/>
      <c r="AW271" s="8"/>
      <c r="AX271" s="8"/>
      <c r="AY271" s="8"/>
      <c r="AZ271" s="8"/>
      <c r="BA271" s="8"/>
      <c r="BB271" s="8"/>
      <c r="BC271" s="8"/>
      <c r="BD271" s="8"/>
      <c r="BE271" s="8"/>
      <c r="BF271" s="8"/>
      <c r="BG271" s="8"/>
      <c r="BH271" s="8"/>
      <c r="BI271" s="8"/>
    </row>
    <row r="272" spans="1:61" s="7" customFormat="1" x14ac:dyDescent="0.2">
      <c r="A272" s="118"/>
      <c r="B272" s="118"/>
      <c r="C272" s="206"/>
      <c r="D272" s="206"/>
      <c r="E272" s="118"/>
      <c r="F272" s="163"/>
      <c r="G272" s="163"/>
      <c r="H272" s="163"/>
      <c r="I272" s="163"/>
      <c r="J272" s="163"/>
      <c r="K272" s="163"/>
      <c r="L272" s="163"/>
      <c r="M272" s="163" t="s">
        <v>3</v>
      </c>
      <c r="N272" s="163"/>
      <c r="O272" s="135"/>
      <c r="P272" s="135"/>
      <c r="Q272" s="135"/>
      <c r="R272" s="135"/>
      <c r="S272" s="135"/>
      <c r="T272" s="1"/>
      <c r="U272" s="1"/>
      <c r="V272" s="1"/>
      <c r="W272" s="1"/>
      <c r="X272" s="1"/>
      <c r="Y272" s="1"/>
      <c r="Z272" s="1"/>
      <c r="AA272" s="16"/>
      <c r="AB272" s="16"/>
      <c r="AC272" s="14"/>
      <c r="AD272" s="14"/>
      <c r="AE272" s="14"/>
      <c r="AF272" s="1"/>
      <c r="AG272" s="1"/>
      <c r="AH272" s="1"/>
      <c r="AI272" s="1"/>
      <c r="AJ272" s="1"/>
      <c r="AK272" s="1"/>
      <c r="AL272" s="1"/>
      <c r="AM272" s="1"/>
      <c r="AN272" s="1"/>
      <c r="AO272" s="1"/>
      <c r="AP272" s="1"/>
      <c r="AQ272" s="1"/>
      <c r="AR272" s="8"/>
      <c r="AS272" s="8"/>
      <c r="AT272" s="8"/>
      <c r="AU272" s="8"/>
      <c r="AV272" s="8"/>
      <c r="AW272" s="8"/>
      <c r="AX272" s="8"/>
      <c r="AY272" s="8"/>
      <c r="AZ272" s="8"/>
      <c r="BA272" s="8"/>
      <c r="BB272" s="8"/>
      <c r="BC272" s="8"/>
      <c r="BD272" s="8"/>
      <c r="BE272" s="8"/>
      <c r="BF272" s="8"/>
      <c r="BG272" s="8"/>
      <c r="BH272" s="8"/>
      <c r="BI272" s="8"/>
    </row>
    <row r="273" spans="1:61" s="7" customFormat="1" x14ac:dyDescent="0.2">
      <c r="A273" s="118"/>
      <c r="B273" s="118"/>
      <c r="C273" s="206"/>
      <c r="D273" s="206"/>
      <c r="E273" s="118"/>
      <c r="F273" s="163"/>
      <c r="G273" s="163"/>
      <c r="H273" s="163"/>
      <c r="I273" s="163"/>
      <c r="J273" s="163"/>
      <c r="K273" s="163"/>
      <c r="L273" s="163"/>
      <c r="M273" s="163" t="s">
        <v>0</v>
      </c>
      <c r="N273" s="163"/>
      <c r="O273" s="135"/>
      <c r="P273" s="135"/>
      <c r="Q273" s="135"/>
      <c r="R273" s="135"/>
      <c r="S273" s="135"/>
      <c r="T273" s="1"/>
      <c r="U273" s="1"/>
      <c r="V273" s="1"/>
      <c r="W273" s="1"/>
      <c r="X273" s="1"/>
      <c r="Y273" s="1"/>
      <c r="Z273" s="1"/>
      <c r="AA273" s="16"/>
      <c r="AB273" s="16"/>
      <c r="AC273" s="14"/>
      <c r="AD273" s="14"/>
      <c r="AE273" s="14"/>
      <c r="AF273" s="1"/>
      <c r="AG273" s="1"/>
      <c r="AH273" s="1"/>
      <c r="AI273" s="1"/>
      <c r="AJ273" s="1"/>
      <c r="AK273" s="1"/>
      <c r="AL273" s="1"/>
      <c r="AM273" s="1"/>
      <c r="AN273" s="1"/>
      <c r="AO273" s="1"/>
      <c r="AP273" s="1"/>
      <c r="AQ273" s="1"/>
      <c r="AR273" s="8"/>
      <c r="AS273" s="8"/>
      <c r="AT273" s="8"/>
      <c r="AU273" s="8"/>
      <c r="AV273" s="8"/>
      <c r="AW273" s="8"/>
      <c r="AX273" s="8"/>
      <c r="AY273" s="8"/>
      <c r="AZ273" s="8"/>
      <c r="BA273" s="8"/>
      <c r="BB273" s="8"/>
      <c r="BC273" s="8"/>
      <c r="BD273" s="8"/>
      <c r="BE273" s="8"/>
      <c r="BF273" s="8"/>
      <c r="BG273" s="8"/>
      <c r="BH273" s="8"/>
      <c r="BI273" s="8"/>
    </row>
    <row r="274" spans="1:61" s="7" customFormat="1" x14ac:dyDescent="0.2">
      <c r="A274" s="118"/>
      <c r="B274" s="118"/>
      <c r="C274" s="206"/>
      <c r="D274" s="206"/>
      <c r="E274" s="118"/>
      <c r="F274" s="163"/>
      <c r="G274" s="163"/>
      <c r="H274" s="163"/>
      <c r="I274" s="163"/>
      <c r="J274" s="163"/>
      <c r="K274" s="163"/>
      <c r="L274" s="163"/>
      <c r="M274" s="163" t="s">
        <v>4</v>
      </c>
      <c r="N274" s="163"/>
      <c r="O274" s="135"/>
      <c r="P274" s="135"/>
      <c r="Q274" s="135"/>
      <c r="R274" s="135"/>
      <c r="S274" s="135"/>
      <c r="T274" s="1"/>
      <c r="U274" s="1"/>
      <c r="V274" s="1"/>
      <c r="W274" s="1"/>
      <c r="X274" s="1"/>
      <c r="Y274" s="1"/>
      <c r="Z274" s="1"/>
      <c r="AA274" s="16"/>
      <c r="AB274" s="16"/>
      <c r="AC274" s="14"/>
      <c r="AD274" s="14"/>
      <c r="AE274" s="14"/>
      <c r="AF274" s="1"/>
      <c r="AG274" s="1"/>
      <c r="AH274" s="1"/>
      <c r="AI274" s="1"/>
      <c r="AJ274" s="1"/>
      <c r="AK274" s="1"/>
      <c r="AL274" s="1"/>
      <c r="AM274" s="1"/>
      <c r="AN274" s="1"/>
      <c r="AO274" s="1"/>
      <c r="AP274" s="1"/>
      <c r="AQ274" s="1"/>
      <c r="AR274" s="8"/>
      <c r="AS274" s="8"/>
      <c r="AT274" s="8"/>
      <c r="AU274" s="8"/>
      <c r="AV274" s="8"/>
      <c r="AW274" s="8"/>
      <c r="AX274" s="8"/>
      <c r="AY274" s="8"/>
      <c r="AZ274" s="8"/>
      <c r="BA274" s="8"/>
      <c r="BB274" s="8"/>
      <c r="BC274" s="8"/>
      <c r="BD274" s="8"/>
      <c r="BE274" s="8"/>
      <c r="BF274" s="8"/>
      <c r="BG274" s="8"/>
      <c r="BH274" s="8"/>
      <c r="BI274" s="8"/>
    </row>
    <row r="275" spans="1:61" s="7" customFormat="1" x14ac:dyDescent="0.2">
      <c r="A275" s="118"/>
      <c r="B275" s="118"/>
      <c r="C275" s="206"/>
      <c r="D275" s="206"/>
      <c r="E275" s="118"/>
      <c r="F275" s="163"/>
      <c r="G275" s="163"/>
      <c r="H275" s="163"/>
      <c r="I275" s="163"/>
      <c r="J275" s="163"/>
      <c r="K275" s="163"/>
      <c r="L275" s="163"/>
      <c r="M275" s="163" t="s">
        <v>15</v>
      </c>
      <c r="N275" s="163"/>
      <c r="O275" s="8"/>
      <c r="P275" s="8"/>
      <c r="Q275" s="8"/>
      <c r="R275" s="8"/>
      <c r="S275" s="8"/>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8"/>
      <c r="AS275" s="8"/>
      <c r="AT275" s="8"/>
      <c r="AU275" s="8"/>
      <c r="AV275" s="8"/>
      <c r="AW275" s="8"/>
      <c r="AX275" s="8"/>
      <c r="AY275" s="8"/>
      <c r="AZ275" s="8"/>
      <c r="BA275" s="8"/>
      <c r="BB275" s="8"/>
      <c r="BC275" s="8"/>
      <c r="BD275" s="8"/>
      <c r="BE275" s="8"/>
      <c r="BF275" s="8"/>
      <c r="BG275" s="8"/>
      <c r="BH275" s="8"/>
      <c r="BI275" s="8"/>
    </row>
    <row r="276" spans="1:61" s="7" customFormat="1" x14ac:dyDescent="0.2">
      <c r="A276" s="118"/>
      <c r="B276" s="118"/>
      <c r="C276" s="118"/>
      <c r="D276" s="118"/>
      <c r="E276" s="118"/>
      <c r="F276" s="163"/>
      <c r="G276" s="163"/>
      <c r="H276" s="163"/>
      <c r="I276" s="163"/>
      <c r="J276" s="163"/>
      <c r="K276" s="163"/>
      <c r="L276" s="163"/>
      <c r="M276" s="163" t="s">
        <v>24</v>
      </c>
      <c r="N276" s="163"/>
      <c r="O276" s="1"/>
      <c r="P276" s="124"/>
      <c r="Q276" s="122"/>
      <c r="R276" s="122"/>
      <c r="S276" s="122"/>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8"/>
      <c r="AS276" s="8"/>
      <c r="AT276" s="8"/>
      <c r="AU276" s="8"/>
      <c r="AV276" s="8"/>
      <c r="AW276" s="8"/>
      <c r="AX276" s="8"/>
      <c r="AY276" s="8"/>
      <c r="AZ276" s="8"/>
      <c r="BA276" s="8"/>
      <c r="BB276" s="8"/>
      <c r="BC276" s="8"/>
      <c r="BD276" s="8"/>
      <c r="BE276" s="8"/>
      <c r="BF276" s="8"/>
      <c r="BG276" s="8"/>
      <c r="BH276" s="8"/>
      <c r="BI276" s="8"/>
    </row>
    <row r="277" spans="1:61" s="7" customFormat="1" x14ac:dyDescent="0.2">
      <c r="A277" s="118"/>
      <c r="B277" s="118"/>
      <c r="C277" s="118"/>
      <c r="D277" s="118"/>
      <c r="E277" s="118"/>
      <c r="F277" s="163"/>
      <c r="G277" s="163"/>
      <c r="H277" s="163"/>
      <c r="I277" s="163"/>
      <c r="J277" s="163"/>
      <c r="K277" s="163"/>
      <c r="L277" s="163"/>
      <c r="M277" s="163" t="s">
        <v>25</v>
      </c>
      <c r="N277" s="163"/>
      <c r="O277" s="1"/>
      <c r="P277" s="124"/>
      <c r="Q277" s="122"/>
      <c r="R277" s="122"/>
      <c r="S277" s="122"/>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8"/>
      <c r="AS277" s="8"/>
      <c r="AT277" s="8"/>
      <c r="AU277" s="8"/>
      <c r="AV277" s="8"/>
      <c r="AW277" s="8"/>
      <c r="AX277" s="8"/>
      <c r="AY277" s="8"/>
      <c r="AZ277" s="8"/>
      <c r="BA277" s="8"/>
      <c r="BB277" s="8"/>
      <c r="BC277" s="8"/>
      <c r="BD277" s="8"/>
      <c r="BE277" s="8"/>
      <c r="BF277" s="8"/>
      <c r="BG277" s="8"/>
      <c r="BH277" s="8"/>
      <c r="BI277" s="8"/>
    </row>
    <row r="278" spans="1:61" s="7" customFormat="1" x14ac:dyDescent="0.2">
      <c r="A278" s="118"/>
      <c r="B278" s="118"/>
      <c r="C278" s="118"/>
      <c r="D278" s="118"/>
      <c r="E278" s="118"/>
      <c r="F278" s="163"/>
      <c r="G278" s="163"/>
      <c r="H278" s="163"/>
      <c r="I278" s="163"/>
      <c r="J278" s="163"/>
      <c r="K278" s="163"/>
      <c r="L278" s="163"/>
      <c r="M278" s="163" t="s">
        <v>10</v>
      </c>
      <c r="N278" s="163"/>
      <c r="O278" s="1"/>
      <c r="P278" s="124"/>
      <c r="Q278" s="122"/>
      <c r="R278" s="122"/>
      <c r="S278" s="122"/>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8"/>
      <c r="AS278" s="8"/>
      <c r="AT278" s="8"/>
      <c r="AU278" s="8"/>
      <c r="AV278" s="8"/>
      <c r="AW278" s="8"/>
      <c r="AX278" s="8"/>
      <c r="AY278" s="8"/>
      <c r="AZ278" s="8"/>
      <c r="BA278" s="8"/>
      <c r="BB278" s="8"/>
      <c r="BC278" s="8"/>
      <c r="BD278" s="8"/>
      <c r="BE278" s="8"/>
      <c r="BF278" s="8"/>
      <c r="BG278" s="8"/>
      <c r="BH278" s="8"/>
      <c r="BI278" s="8"/>
    </row>
    <row r="279" spans="1:61" s="7" customFormat="1" x14ac:dyDescent="0.2">
      <c r="A279" s="118"/>
      <c r="B279" s="118"/>
      <c r="C279" s="118"/>
      <c r="D279" s="118"/>
      <c r="E279" s="118"/>
      <c r="F279" s="163"/>
      <c r="G279" s="163"/>
      <c r="H279" s="163"/>
      <c r="I279" s="163"/>
      <c r="J279" s="163"/>
      <c r="K279" s="163"/>
      <c r="L279" s="163"/>
      <c r="M279" s="163" t="s">
        <v>26</v>
      </c>
      <c r="N279" s="163"/>
      <c r="O279" s="1"/>
      <c r="P279" s="124"/>
      <c r="Q279" s="122"/>
      <c r="R279" s="122"/>
      <c r="S279" s="122"/>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8"/>
      <c r="AS279" s="8"/>
      <c r="AT279" s="8"/>
      <c r="AU279" s="8"/>
      <c r="AV279" s="8"/>
      <c r="AW279" s="8"/>
      <c r="AX279" s="8"/>
      <c r="AY279" s="8"/>
      <c r="AZ279" s="8"/>
      <c r="BA279" s="8"/>
      <c r="BB279" s="8"/>
      <c r="BC279" s="8"/>
      <c r="BD279" s="8"/>
      <c r="BE279" s="8"/>
      <c r="BF279" s="8"/>
      <c r="BG279" s="8"/>
      <c r="BH279" s="8"/>
      <c r="BI279" s="8"/>
    </row>
    <row r="280" spans="1:61" s="7" customFormat="1" x14ac:dyDescent="0.2">
      <c r="A280" s="118"/>
      <c r="B280" s="118"/>
      <c r="C280" s="118"/>
      <c r="D280" s="118"/>
      <c r="E280" s="118"/>
      <c r="F280" s="163"/>
      <c r="G280" s="163"/>
      <c r="H280" s="163"/>
      <c r="I280" s="163"/>
      <c r="J280" s="163"/>
      <c r="K280" s="163"/>
      <c r="L280" s="163"/>
      <c r="M280" s="163"/>
      <c r="N280" s="163"/>
      <c r="O280" s="1"/>
      <c r="P280" s="124"/>
      <c r="Q280" s="122"/>
      <c r="R280" s="122"/>
      <c r="S280" s="122"/>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8"/>
      <c r="AS280" s="8"/>
      <c r="AT280" s="8"/>
      <c r="AU280" s="8"/>
      <c r="AV280" s="8"/>
      <c r="AW280" s="8"/>
      <c r="AX280" s="8"/>
      <c r="AY280" s="8"/>
      <c r="AZ280" s="8"/>
      <c r="BA280" s="8"/>
      <c r="BB280" s="8"/>
      <c r="BC280" s="8"/>
      <c r="BD280" s="8"/>
      <c r="BE280" s="8"/>
      <c r="BF280" s="8"/>
      <c r="BG280" s="8"/>
      <c r="BH280" s="8"/>
      <c r="BI280" s="8"/>
    </row>
    <row r="281" spans="1:61" s="7" customFormat="1" x14ac:dyDescent="0.2">
      <c r="A281" s="118"/>
      <c r="B281" s="118"/>
      <c r="C281" s="118"/>
      <c r="D281" s="118"/>
      <c r="E281" s="118"/>
      <c r="F281" s="163"/>
      <c r="G281" s="163"/>
      <c r="H281" s="163"/>
      <c r="I281" s="163"/>
      <c r="J281" s="163"/>
      <c r="K281" s="163"/>
      <c r="L281" s="163"/>
      <c r="M281" s="163"/>
      <c r="N281" s="163"/>
      <c r="O281" s="1"/>
      <c r="P281" s="124"/>
      <c r="Q281" s="122"/>
      <c r="R281" s="122"/>
      <c r="S281" s="122"/>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8"/>
      <c r="AS281" s="8"/>
      <c r="AT281" s="8"/>
      <c r="AU281" s="8"/>
      <c r="AV281" s="8"/>
      <c r="AW281" s="8"/>
      <c r="AX281" s="8"/>
      <c r="AY281" s="8"/>
      <c r="AZ281" s="8"/>
      <c r="BA281" s="8"/>
      <c r="BB281" s="8"/>
      <c r="BC281" s="8"/>
      <c r="BD281" s="8"/>
      <c r="BE281" s="8"/>
      <c r="BF281" s="8"/>
      <c r="BG281" s="8"/>
      <c r="BH281" s="8"/>
      <c r="BI281" s="8"/>
    </row>
    <row r="282" spans="1:61" s="7" customFormat="1" x14ac:dyDescent="0.2">
      <c r="A282" s="118"/>
      <c r="B282" s="118"/>
      <c r="C282" s="118"/>
      <c r="D282" s="118"/>
      <c r="E282" s="118"/>
      <c r="F282" s="163"/>
      <c r="G282" s="163"/>
      <c r="H282" s="163"/>
      <c r="I282" s="163"/>
      <c r="J282" s="163"/>
      <c r="K282" s="163"/>
      <c r="L282" s="163"/>
      <c r="M282" s="163"/>
      <c r="N282" s="163"/>
      <c r="O282" s="1"/>
      <c r="P282" s="124"/>
      <c r="Q282" s="122"/>
      <c r="R282" s="122"/>
      <c r="S282" s="122"/>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8"/>
      <c r="AS282" s="8"/>
      <c r="AT282" s="8"/>
      <c r="AU282" s="8"/>
      <c r="AV282" s="8"/>
      <c r="AW282" s="8"/>
      <c r="AX282" s="8"/>
      <c r="AY282" s="8"/>
      <c r="AZ282" s="8"/>
      <c r="BA282" s="8"/>
      <c r="BB282" s="8"/>
      <c r="BC282" s="8"/>
      <c r="BD282" s="8"/>
      <c r="BE282" s="8"/>
      <c r="BF282" s="8"/>
      <c r="BG282" s="8"/>
      <c r="BH282" s="8"/>
      <c r="BI282" s="8"/>
    </row>
    <row r="283" spans="1:61" s="7" customFormat="1" x14ac:dyDescent="0.2">
      <c r="A283" s="118"/>
      <c r="B283" s="118"/>
      <c r="C283" s="118"/>
      <c r="D283" s="118"/>
      <c r="E283" s="118"/>
      <c r="F283" s="163"/>
      <c r="G283" s="163"/>
      <c r="H283" s="163"/>
      <c r="I283" s="163"/>
      <c r="J283" s="163"/>
      <c r="K283" s="163"/>
      <c r="L283" s="163"/>
      <c r="M283" s="163"/>
      <c r="N283" s="163"/>
      <c r="O283" s="1"/>
      <c r="P283" s="124"/>
      <c r="Q283" s="122"/>
      <c r="R283" s="122"/>
      <c r="S283" s="122"/>
      <c r="T283" s="1"/>
      <c r="U283" s="1"/>
      <c r="V283" s="1"/>
      <c r="W283" s="1"/>
      <c r="X283" s="1"/>
      <c r="Y283" s="1"/>
      <c r="Z283" s="1"/>
      <c r="AA283" s="1"/>
      <c r="AB283" s="1"/>
      <c r="AC283" s="14"/>
      <c r="AD283" s="14"/>
      <c r="AE283" s="1"/>
      <c r="AF283" s="1"/>
      <c r="AG283" s="1"/>
      <c r="AH283" s="1"/>
      <c r="AI283" s="1"/>
      <c r="AJ283" s="1"/>
      <c r="AK283" s="1"/>
      <c r="AL283" s="1"/>
      <c r="AM283" s="1"/>
      <c r="AN283" s="1"/>
      <c r="AO283" s="1"/>
      <c r="AP283" s="1"/>
      <c r="AQ283" s="1"/>
      <c r="AR283" s="8"/>
      <c r="AS283" s="8"/>
      <c r="AT283" s="8"/>
      <c r="AU283" s="8"/>
      <c r="AV283" s="8"/>
      <c r="AW283" s="8"/>
      <c r="AX283" s="8"/>
      <c r="AY283" s="8"/>
      <c r="AZ283" s="8"/>
      <c r="BA283" s="8"/>
      <c r="BB283" s="8"/>
      <c r="BC283" s="8"/>
      <c r="BD283" s="8"/>
      <c r="BE283" s="8"/>
      <c r="BF283" s="8"/>
      <c r="BG283" s="8"/>
      <c r="BH283" s="8"/>
      <c r="BI283" s="8"/>
    </row>
    <row r="284" spans="1:61" s="7" customFormat="1" x14ac:dyDescent="0.2">
      <c r="A284" s="118"/>
      <c r="B284" s="118"/>
      <c r="C284" s="118"/>
      <c r="D284" s="118"/>
      <c r="E284" s="118"/>
      <c r="F284" s="163"/>
      <c r="G284" s="163"/>
      <c r="H284" s="163"/>
      <c r="I284" s="163"/>
      <c r="J284" s="163"/>
      <c r="K284" s="163"/>
      <c r="L284" s="163"/>
      <c r="M284" s="163"/>
      <c r="N284" s="163"/>
      <c r="O284" s="1"/>
      <c r="P284" s="124"/>
      <c r="Q284" s="122"/>
      <c r="R284" s="122"/>
      <c r="S284" s="122"/>
      <c r="T284" s="1"/>
      <c r="U284" s="1"/>
      <c r="V284" s="1"/>
      <c r="W284" s="1"/>
      <c r="X284" s="1"/>
      <c r="Y284" s="1"/>
      <c r="Z284" s="1"/>
      <c r="AA284" s="1"/>
      <c r="AB284" s="1"/>
      <c r="AC284" s="1"/>
      <c r="AD284" s="1"/>
      <c r="AE284" s="14"/>
      <c r="AF284" s="1"/>
      <c r="AG284" s="1"/>
      <c r="AH284" s="1"/>
      <c r="AI284" s="1"/>
      <c r="AJ284" s="1"/>
      <c r="AK284" s="1"/>
      <c r="AL284" s="1"/>
      <c r="AM284" s="1"/>
      <c r="AN284" s="1"/>
      <c r="AO284" s="1"/>
      <c r="AP284" s="1"/>
      <c r="AQ284" s="1"/>
      <c r="AR284" s="8"/>
      <c r="AS284" s="8"/>
      <c r="AT284" s="8"/>
      <c r="AU284" s="8"/>
      <c r="AV284" s="8"/>
      <c r="AW284" s="8"/>
      <c r="AX284" s="8"/>
      <c r="AY284" s="8"/>
      <c r="AZ284" s="8"/>
      <c r="BA284" s="8"/>
      <c r="BB284" s="8"/>
      <c r="BC284" s="8"/>
      <c r="BD284" s="8"/>
      <c r="BE284" s="8"/>
      <c r="BF284" s="8"/>
      <c r="BG284" s="8"/>
      <c r="BH284" s="8"/>
      <c r="BI284" s="8"/>
    </row>
    <row r="285" spans="1:61" s="7" customFormat="1" x14ac:dyDescent="0.2">
      <c r="A285" s="118"/>
      <c r="B285" s="118"/>
      <c r="C285" s="118"/>
      <c r="D285" s="118"/>
      <c r="E285" s="118"/>
      <c r="F285" s="163"/>
      <c r="G285" s="163"/>
      <c r="H285" s="163"/>
      <c r="I285" s="163"/>
      <c r="J285" s="163"/>
      <c r="K285" s="163"/>
      <c r="L285" s="163"/>
      <c r="M285" s="163"/>
      <c r="N285" s="163"/>
      <c r="O285" s="1"/>
      <c r="P285" s="124"/>
      <c r="Q285" s="122"/>
      <c r="R285" s="122"/>
      <c r="S285" s="122"/>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8"/>
      <c r="AS285" s="8"/>
      <c r="AT285" s="8"/>
      <c r="AU285" s="8"/>
      <c r="AV285" s="8"/>
      <c r="AW285" s="8"/>
      <c r="AX285" s="8"/>
      <c r="AY285" s="8"/>
      <c r="AZ285" s="8"/>
      <c r="BA285" s="8"/>
      <c r="BB285" s="8"/>
      <c r="BC285" s="8"/>
      <c r="BD285" s="8"/>
      <c r="BE285" s="8"/>
      <c r="BF285" s="8"/>
      <c r="BG285" s="8"/>
      <c r="BH285" s="8"/>
      <c r="BI285" s="8"/>
    </row>
    <row r="286" spans="1:61" s="7" customFormat="1" x14ac:dyDescent="0.2">
      <c r="A286" s="118"/>
      <c r="B286" s="183"/>
      <c r="C286" s="118"/>
      <c r="D286" s="118"/>
      <c r="E286" s="118"/>
      <c r="F286" s="163"/>
      <c r="G286" s="163"/>
      <c r="H286" s="163"/>
      <c r="I286" s="163"/>
      <c r="J286" s="163"/>
      <c r="K286" s="163"/>
      <c r="L286" s="163"/>
      <c r="M286" s="163"/>
      <c r="N286" s="163"/>
      <c r="O286" s="1"/>
      <c r="P286" s="124"/>
      <c r="Q286" s="122"/>
      <c r="R286" s="122"/>
      <c r="S286" s="122"/>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8"/>
      <c r="AS286" s="8"/>
      <c r="AT286" s="8"/>
      <c r="AU286" s="8"/>
      <c r="AV286" s="8"/>
      <c r="AW286" s="8"/>
      <c r="AX286" s="8"/>
      <c r="AY286" s="8"/>
      <c r="AZ286" s="8"/>
      <c r="BA286" s="8"/>
      <c r="BB286" s="8"/>
      <c r="BC286" s="8"/>
      <c r="BD286" s="8"/>
      <c r="BE286" s="8"/>
      <c r="BF286" s="8"/>
      <c r="BG286" s="8"/>
      <c r="BH286" s="8"/>
      <c r="BI286" s="8"/>
    </row>
    <row r="287" spans="1:61" s="7" customFormat="1" x14ac:dyDescent="0.2">
      <c r="A287" s="118"/>
      <c r="B287" s="118"/>
      <c r="C287" s="118"/>
      <c r="D287" s="118"/>
      <c r="E287" s="118"/>
      <c r="F287" s="163"/>
      <c r="G287" s="163"/>
      <c r="H287" s="163"/>
      <c r="I287" s="163"/>
      <c r="J287" s="163"/>
      <c r="K287" s="163"/>
      <c r="L287" s="163"/>
      <c r="M287" s="163"/>
      <c r="N287" s="163"/>
      <c r="O287" s="1"/>
      <c r="P287" s="124"/>
      <c r="Q287" s="122"/>
      <c r="R287" s="122"/>
      <c r="S287" s="122"/>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8"/>
      <c r="AS287" s="8"/>
      <c r="AT287" s="8"/>
      <c r="AU287" s="8"/>
      <c r="AV287" s="8"/>
      <c r="AW287" s="8"/>
      <c r="AX287" s="8"/>
      <c r="AY287" s="8"/>
      <c r="AZ287" s="8"/>
      <c r="BA287" s="8"/>
      <c r="BB287" s="8"/>
      <c r="BC287" s="8"/>
      <c r="BD287" s="8"/>
      <c r="BE287" s="8"/>
      <c r="BF287" s="8"/>
      <c r="BG287" s="8"/>
      <c r="BH287" s="8"/>
      <c r="BI287" s="8"/>
    </row>
    <row r="288" spans="1:61" s="7" customFormat="1" x14ac:dyDescent="0.2">
      <c r="A288" s="118"/>
      <c r="B288" s="118"/>
      <c r="C288" s="185"/>
      <c r="D288" s="185"/>
      <c r="E288" s="118"/>
      <c r="F288" s="163"/>
      <c r="G288" s="163"/>
      <c r="H288" s="163"/>
      <c r="I288" s="163"/>
      <c r="J288" s="163"/>
      <c r="K288" s="163"/>
      <c r="L288" s="163"/>
      <c r="M288" s="163"/>
      <c r="N288" s="163"/>
      <c r="O288" s="1"/>
      <c r="P288" s="124"/>
      <c r="Q288" s="122"/>
      <c r="R288" s="122"/>
      <c r="S288" s="122"/>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8"/>
      <c r="AS288" s="8"/>
      <c r="AT288" s="8"/>
      <c r="AU288" s="8"/>
      <c r="AV288" s="8"/>
      <c r="AW288" s="8"/>
      <c r="AX288" s="8"/>
      <c r="AY288" s="8"/>
      <c r="AZ288" s="8"/>
      <c r="BA288" s="8"/>
      <c r="BB288" s="8"/>
      <c r="BC288" s="8"/>
      <c r="BD288" s="8"/>
      <c r="BE288" s="8"/>
      <c r="BF288" s="8"/>
      <c r="BG288" s="8"/>
      <c r="BH288" s="8"/>
      <c r="BI288" s="8"/>
    </row>
    <row r="289" spans="1:61" s="7" customFormat="1" x14ac:dyDescent="0.2">
      <c r="A289" s="118"/>
      <c r="B289" s="118"/>
      <c r="C289" s="118"/>
      <c r="D289" s="118"/>
      <c r="E289" s="118"/>
      <c r="F289" s="163"/>
      <c r="G289" s="163"/>
      <c r="H289" s="163"/>
      <c r="I289" s="163"/>
      <c r="J289" s="163"/>
      <c r="K289" s="163"/>
      <c r="L289" s="163"/>
      <c r="M289" s="163"/>
      <c r="N289" s="163"/>
      <c r="O289" s="1"/>
      <c r="P289" s="124"/>
      <c r="Q289" s="122"/>
      <c r="R289" s="122"/>
      <c r="S289" s="122"/>
      <c r="T289" s="1"/>
      <c r="U289" s="1"/>
      <c r="V289" s="1"/>
      <c r="W289" s="1"/>
      <c r="X289" s="1"/>
      <c r="Y289" s="1"/>
      <c r="Z289" s="1"/>
      <c r="AA289" s="1"/>
      <c r="AB289" s="1"/>
      <c r="AC289" s="1"/>
      <c r="AD289" s="1"/>
      <c r="AE289" s="1"/>
      <c r="AF289" s="1"/>
      <c r="AG289" s="1"/>
      <c r="AH289" s="1"/>
      <c r="AI289" s="1"/>
      <c r="AJ289" s="1"/>
      <c r="AK289" s="1"/>
      <c r="AL289" s="1"/>
      <c r="AM289" s="1"/>
      <c r="AN289" s="1"/>
      <c r="AO289" s="8"/>
      <c r="AP289" s="8"/>
      <c r="AQ289" s="8"/>
      <c r="AR289" s="8"/>
      <c r="AS289" s="8"/>
      <c r="AT289" s="8"/>
      <c r="AU289" s="8"/>
      <c r="AV289" s="8"/>
      <c r="AW289" s="8"/>
      <c r="AX289" s="8"/>
      <c r="AY289" s="8"/>
      <c r="AZ289" s="8"/>
      <c r="BA289" s="8"/>
      <c r="BB289" s="8"/>
      <c r="BC289" s="8"/>
      <c r="BD289" s="8"/>
      <c r="BE289" s="8"/>
      <c r="BF289" s="8"/>
      <c r="BG289" s="8"/>
      <c r="BH289" s="8"/>
      <c r="BI289" s="8"/>
    </row>
    <row r="290" spans="1:61" s="7" customFormat="1" x14ac:dyDescent="0.2">
      <c r="A290" s="118"/>
      <c r="B290" s="118"/>
      <c r="C290" s="118"/>
      <c r="D290" s="118"/>
      <c r="E290" s="118"/>
      <c r="F290" s="163"/>
      <c r="G290" s="163"/>
      <c r="H290" s="163"/>
      <c r="I290" s="207" t="s">
        <v>371</v>
      </c>
      <c r="J290" s="163"/>
      <c r="K290" s="163"/>
      <c r="L290" s="163"/>
      <c r="M290" s="163"/>
      <c r="N290" s="163"/>
      <c r="O290" s="1"/>
      <c r="P290" s="124"/>
      <c r="Q290" s="122"/>
      <c r="R290" s="122"/>
      <c r="S290" s="122"/>
      <c r="T290" s="1"/>
      <c r="U290" s="1"/>
      <c r="V290" s="1"/>
      <c r="W290" s="1"/>
      <c r="X290" s="1"/>
      <c r="Y290" s="1"/>
      <c r="Z290" s="1"/>
      <c r="AA290" s="1"/>
      <c r="AB290" s="1"/>
      <c r="AC290" s="1"/>
      <c r="AD290" s="1"/>
      <c r="AE290" s="1"/>
      <c r="AF290" s="1"/>
      <c r="AG290" s="1"/>
      <c r="AH290" s="1"/>
      <c r="AI290" s="1"/>
      <c r="AJ290" s="1"/>
      <c r="AK290" s="1"/>
      <c r="AL290" s="1"/>
      <c r="AM290" s="1"/>
      <c r="AN290" s="1"/>
      <c r="AO290" s="8"/>
      <c r="AP290" s="8"/>
      <c r="AQ290" s="8"/>
      <c r="AR290" s="8"/>
      <c r="AS290" s="8"/>
      <c r="AT290" s="8"/>
      <c r="AU290" s="8"/>
      <c r="AV290" s="8"/>
      <c r="AW290" s="8"/>
      <c r="AX290" s="8"/>
      <c r="AY290" s="8"/>
      <c r="AZ290" s="8"/>
      <c r="BA290" s="8"/>
      <c r="BB290" s="8"/>
      <c r="BC290" s="8"/>
      <c r="BD290" s="8"/>
      <c r="BE290" s="8"/>
      <c r="BF290" s="8"/>
      <c r="BG290" s="8"/>
      <c r="BH290" s="8"/>
      <c r="BI290" s="8"/>
    </row>
    <row r="291" spans="1:61" s="7" customFormat="1" x14ac:dyDescent="0.2">
      <c r="A291" s="118"/>
      <c r="B291" s="118"/>
      <c r="C291" s="118"/>
      <c r="D291" s="118"/>
      <c r="E291" s="118"/>
      <c r="F291" s="163"/>
      <c r="G291" s="163"/>
      <c r="H291" s="163"/>
      <c r="I291" s="207" t="s">
        <v>117</v>
      </c>
      <c r="J291" s="207" t="s">
        <v>118</v>
      </c>
      <c r="K291" s="163"/>
      <c r="L291" s="163"/>
      <c r="M291" s="163"/>
      <c r="N291" s="163"/>
      <c r="O291" s="1"/>
      <c r="P291" s="124"/>
      <c r="Q291" s="122"/>
      <c r="R291" s="122"/>
      <c r="S291" s="122"/>
      <c r="T291" s="1"/>
      <c r="U291" s="1"/>
      <c r="V291" s="1"/>
      <c r="W291" s="1"/>
      <c r="X291" s="1"/>
      <c r="Y291" s="1"/>
      <c r="Z291" s="1"/>
      <c r="AA291" s="1"/>
      <c r="AB291" s="1"/>
      <c r="AC291" s="1"/>
      <c r="AD291" s="1"/>
      <c r="AE291" s="1"/>
      <c r="AF291" s="1"/>
      <c r="AG291" s="1"/>
      <c r="AH291" s="1"/>
      <c r="AI291" s="1"/>
      <c r="AJ291" s="1"/>
      <c r="AK291" s="1"/>
      <c r="AL291" s="1"/>
      <c r="AM291" s="1"/>
      <c r="AN291" s="1"/>
      <c r="AO291" s="8"/>
      <c r="AP291" s="8"/>
      <c r="AQ291" s="8"/>
      <c r="AR291" s="8"/>
      <c r="AS291" s="8"/>
      <c r="AT291" s="8"/>
      <c r="AU291" s="8"/>
      <c r="AV291" s="8"/>
      <c r="AW291" s="8"/>
      <c r="AX291" s="8"/>
      <c r="AY291" s="8"/>
      <c r="AZ291" s="8"/>
      <c r="BA291" s="8"/>
      <c r="BB291" s="8"/>
      <c r="BC291" s="8"/>
      <c r="BD291" s="8"/>
      <c r="BE291" s="8"/>
      <c r="BF291" s="8"/>
      <c r="BG291" s="8"/>
      <c r="BH291" s="8"/>
      <c r="BI291" s="8"/>
    </row>
    <row r="292" spans="1:61" s="7" customFormat="1" x14ac:dyDescent="0.2">
      <c r="A292" s="118"/>
      <c r="B292" s="118"/>
      <c r="C292" s="118"/>
      <c r="D292" s="118"/>
      <c r="E292" s="118"/>
      <c r="F292" s="163"/>
      <c r="G292" s="163"/>
      <c r="H292" s="163"/>
      <c r="I292" s="163" t="s">
        <v>120</v>
      </c>
      <c r="J292" s="163" t="s">
        <v>148</v>
      </c>
      <c r="K292" s="163"/>
      <c r="L292" s="163"/>
      <c r="M292" s="163"/>
      <c r="N292" s="163"/>
      <c r="O292" s="1"/>
      <c r="P292" s="124"/>
      <c r="Q292" s="122"/>
      <c r="R292" s="122"/>
      <c r="S292" s="122"/>
      <c r="T292" s="1"/>
      <c r="U292" s="1"/>
      <c r="V292" s="1"/>
      <c r="W292" s="1"/>
      <c r="X292" s="1"/>
      <c r="Y292" s="1"/>
      <c r="Z292" s="1"/>
      <c r="AA292" s="1"/>
      <c r="AB292" s="1"/>
      <c r="AC292" s="1"/>
      <c r="AD292" s="1"/>
      <c r="AE292" s="1"/>
      <c r="AF292" s="1"/>
      <c r="AG292" s="1"/>
      <c r="AH292" s="1"/>
      <c r="AI292" s="1"/>
      <c r="AJ292" s="1"/>
      <c r="AK292" s="1"/>
      <c r="AL292" s="1"/>
      <c r="AM292" s="1"/>
      <c r="AN292" s="1"/>
      <c r="AO292" s="8"/>
      <c r="AP292" s="8"/>
      <c r="AQ292" s="8"/>
      <c r="AR292" s="8"/>
      <c r="AS292" s="8"/>
      <c r="AT292" s="8"/>
      <c r="AU292" s="8"/>
      <c r="AV292" s="8"/>
      <c r="AW292" s="8"/>
      <c r="AX292" s="8"/>
      <c r="AY292" s="8"/>
      <c r="AZ292" s="8"/>
      <c r="BA292" s="8"/>
      <c r="BB292" s="8"/>
      <c r="BC292" s="8"/>
      <c r="BD292" s="8"/>
      <c r="BE292" s="8"/>
      <c r="BF292" s="8"/>
      <c r="BG292" s="8"/>
      <c r="BH292" s="8"/>
      <c r="BI292" s="8"/>
    </row>
    <row r="293" spans="1:61" s="7" customFormat="1" x14ac:dyDescent="0.2">
      <c r="A293" s="118"/>
      <c r="B293" s="118"/>
      <c r="C293" s="118"/>
      <c r="D293" s="118"/>
      <c r="E293" s="118"/>
      <c r="F293" s="163"/>
      <c r="G293" s="163"/>
      <c r="H293" s="163"/>
      <c r="I293" s="163" t="s">
        <v>119</v>
      </c>
      <c r="J293" s="163" t="s">
        <v>124</v>
      </c>
      <c r="K293" s="208"/>
      <c r="L293" s="163"/>
      <c r="M293" s="163"/>
      <c r="N293" s="163"/>
      <c r="O293" s="1"/>
      <c r="P293" s="124"/>
      <c r="Q293" s="122"/>
      <c r="R293" s="122"/>
      <c r="S293" s="122"/>
      <c r="T293" s="1"/>
      <c r="U293" s="1"/>
      <c r="V293" s="1"/>
      <c r="W293" s="1"/>
      <c r="X293" s="1"/>
      <c r="Y293" s="1"/>
      <c r="Z293" s="1"/>
      <c r="AA293" s="1"/>
      <c r="AB293" s="1"/>
      <c r="AC293" s="1"/>
      <c r="AD293" s="1"/>
      <c r="AE293" s="1"/>
      <c r="AF293" s="1"/>
      <c r="AG293" s="1"/>
      <c r="AH293" s="1"/>
      <c r="AI293" s="1"/>
      <c r="AJ293" s="1"/>
      <c r="AK293" s="1"/>
      <c r="AL293" s="1"/>
      <c r="AM293" s="1"/>
      <c r="AN293" s="1"/>
      <c r="AO293" s="8"/>
      <c r="AP293" s="8"/>
      <c r="AQ293" s="8"/>
      <c r="AR293" s="8"/>
      <c r="AS293" s="8"/>
      <c r="AT293" s="8"/>
      <c r="AU293" s="8"/>
      <c r="AV293" s="8"/>
      <c r="AW293" s="8"/>
      <c r="AX293" s="8"/>
      <c r="AY293" s="8"/>
      <c r="AZ293" s="8"/>
      <c r="BA293" s="8"/>
      <c r="BB293" s="8"/>
      <c r="BC293" s="8"/>
      <c r="BD293" s="8"/>
      <c r="BE293" s="8"/>
      <c r="BF293" s="8"/>
      <c r="BG293" s="8"/>
      <c r="BH293" s="8"/>
      <c r="BI293" s="8"/>
    </row>
    <row r="294" spans="1:61" s="7" customFormat="1" x14ac:dyDescent="0.2">
      <c r="A294" s="118"/>
      <c r="B294" s="118"/>
      <c r="C294" s="118"/>
      <c r="D294" s="118"/>
      <c r="E294" s="118"/>
      <c r="F294" s="163"/>
      <c r="G294" s="163"/>
      <c r="H294" s="163"/>
      <c r="I294" s="163" t="s">
        <v>203</v>
      </c>
      <c r="J294" s="163" t="str">
        <f>CONCATENATE("Review your expenses and look for places to trim spending. Usually the best place to look first is Personal Expenses and then other categories like Clothing and Other Utilities."," For your budget, spending in the ", IF(E244=1,CONCATENATE(F244, IF(D245=1, " and ", IF(D245=0, "", ", "))), ""), IF(E245=1,CONCATENATE(F245, IF(D246=1, " and ", IF(D246=0, "", ", "))), ""), IF(E246=1, CONCATENATE(F246, IF(D247=1, " and ", IF(D247=0, "", ", "))), ""), IF(E247=1,CONCATENATE(F247, IF(D248=1, " and ", IF(D248=0, "", ", "))), ""), IF(E248=1,CONCATENATE(F248, IF(D249=1, " and ", IF(D249=0, "", ", "))), ""), IF(E249=1,CONCATENATE(F249, IF(D250=1, " and ", IF(D250=0, "", ", "))), ""), IF(E250=1,CONCATENATE(F250, IF(D251=1, " and ", IF(D251=0, "", ", "))), ""), IF(E251=1,CONCATENATE(F251, IF(D252=1, " and ", IF(D252=0, "", ", "))), ""), IF(E252=1, CONCATENATE(F252), ""), IF(E253&gt;1, " categories", " category")," seems to be high. See if you can find any way to reduce these expenses.")</f>
        <v>Review your expenses and look for places to trim spending. Usually the best place to look first is Personal Expenses and then other categories like Clothing and Other Utilities. For your budget, spending in the  category seems to be high. See if you can find any way to reduce these expenses.</v>
      </c>
      <c r="K294" s="163"/>
      <c r="L294" s="163"/>
      <c r="M294" s="163"/>
      <c r="N294" s="163"/>
      <c r="O294" s="1"/>
      <c r="P294" s="124"/>
      <c r="Q294" s="122"/>
      <c r="R294" s="122"/>
      <c r="S294" s="122"/>
      <c r="T294" s="1"/>
      <c r="U294" s="1"/>
      <c r="V294" s="1"/>
      <c r="W294" s="1"/>
      <c r="X294" s="1"/>
      <c r="Y294" s="1"/>
      <c r="Z294" s="1"/>
      <c r="AA294" s="1"/>
      <c r="AB294" s="1"/>
      <c r="AC294" s="1"/>
      <c r="AD294" s="1"/>
      <c r="AE294" s="1"/>
      <c r="AF294" s="1"/>
      <c r="AG294" s="1"/>
      <c r="AH294" s="1"/>
      <c r="AI294" s="1"/>
      <c r="AJ294" s="1"/>
      <c r="AK294" s="1"/>
      <c r="AL294" s="1"/>
      <c r="AM294" s="1"/>
      <c r="AN294" s="1"/>
      <c r="AO294" s="8"/>
      <c r="AP294" s="8"/>
      <c r="AQ294" s="8"/>
      <c r="AR294" s="8"/>
      <c r="AS294" s="8"/>
      <c r="AT294" s="8"/>
      <c r="AU294" s="8"/>
      <c r="AV294" s="8"/>
      <c r="AW294" s="8"/>
      <c r="AX294" s="8"/>
      <c r="AY294" s="8"/>
      <c r="AZ294" s="8"/>
      <c r="BA294" s="8"/>
      <c r="BB294" s="8"/>
      <c r="BC294" s="8"/>
      <c r="BD294" s="8"/>
      <c r="BE294" s="8"/>
      <c r="BF294" s="8"/>
      <c r="BG294" s="8"/>
      <c r="BH294" s="8"/>
      <c r="BI294" s="8"/>
    </row>
    <row r="295" spans="1:61" s="7" customFormat="1" x14ac:dyDescent="0.2">
      <c r="A295" s="118"/>
      <c r="B295" s="118"/>
      <c r="C295" s="118"/>
      <c r="D295" s="118"/>
      <c r="E295" s="118"/>
      <c r="F295" s="163"/>
      <c r="G295" s="163"/>
      <c r="H295" s="163"/>
      <c r="I295" s="163" t="s">
        <v>204</v>
      </c>
      <c r="J295" s="163" t="s">
        <v>379</v>
      </c>
      <c r="K295" s="163"/>
      <c r="L295" s="163"/>
      <c r="M295" s="163"/>
      <c r="N295" s="163"/>
      <c r="O295" s="1"/>
      <c r="P295" s="124"/>
      <c r="Q295" s="122"/>
      <c r="R295" s="122"/>
      <c r="S295" s="122"/>
      <c r="T295" s="1"/>
      <c r="U295" s="1"/>
      <c r="V295" s="1"/>
      <c r="W295" s="1"/>
      <c r="X295" s="1"/>
      <c r="Y295" s="1"/>
      <c r="Z295" s="1"/>
      <c r="AA295" s="1"/>
      <c r="AB295" s="1"/>
      <c r="AC295" s="1"/>
      <c r="AD295" s="1"/>
      <c r="AE295" s="1"/>
      <c r="AF295" s="1"/>
      <c r="AG295" s="1"/>
      <c r="AH295" s="1"/>
      <c r="AI295" s="1"/>
      <c r="AJ295" s="1"/>
      <c r="AK295" s="1"/>
      <c r="AL295" s="1"/>
      <c r="AM295" s="1"/>
      <c r="AN295" s="1"/>
      <c r="AO295" s="8"/>
      <c r="AP295" s="8"/>
      <c r="AQ295" s="8"/>
      <c r="AR295" s="8"/>
      <c r="AS295" s="8"/>
      <c r="AT295" s="8"/>
      <c r="AU295" s="8"/>
      <c r="AV295" s="8"/>
      <c r="AW295" s="8"/>
      <c r="AX295" s="8"/>
      <c r="AY295" s="8"/>
      <c r="AZ295" s="8"/>
      <c r="BA295" s="8"/>
      <c r="BB295" s="8"/>
      <c r="BC295" s="8"/>
      <c r="BD295" s="8"/>
      <c r="BE295" s="8"/>
      <c r="BF295" s="8"/>
      <c r="BG295" s="8"/>
      <c r="BH295" s="8"/>
      <c r="BI295" s="8"/>
    </row>
    <row r="296" spans="1:61" s="7" customFormat="1" x14ac:dyDescent="0.2">
      <c r="A296" s="118"/>
      <c r="B296" s="118"/>
      <c r="C296" s="118"/>
      <c r="D296" s="118"/>
      <c r="E296" s="118"/>
      <c r="F296" s="163"/>
      <c r="G296" s="163"/>
      <c r="H296" s="163"/>
      <c r="I296" s="163" t="s">
        <v>205</v>
      </c>
      <c r="J296" s="163" t="s">
        <v>208</v>
      </c>
      <c r="K296" s="163"/>
      <c r="L296" s="163"/>
      <c r="M296" s="163"/>
      <c r="N296" s="163"/>
      <c r="O296" s="1"/>
      <c r="P296" s="124"/>
      <c r="Q296" s="122"/>
      <c r="R296" s="122"/>
      <c r="S296" s="122"/>
      <c r="T296" s="1"/>
      <c r="U296" s="1"/>
      <c r="V296" s="1"/>
      <c r="W296" s="1"/>
      <c r="X296" s="1"/>
      <c r="Y296" s="1"/>
      <c r="Z296" s="1"/>
      <c r="AA296" s="1"/>
      <c r="AB296" s="1"/>
      <c r="AC296" s="1"/>
      <c r="AD296" s="1"/>
      <c r="AE296" s="1"/>
      <c r="AF296" s="1"/>
      <c r="AG296" s="1"/>
      <c r="AH296" s="1"/>
      <c r="AI296" s="1"/>
      <c r="AJ296" s="1"/>
      <c r="AK296" s="1"/>
      <c r="AL296" s="1"/>
      <c r="AM296" s="1"/>
      <c r="AN296" s="1"/>
      <c r="AO296" s="8"/>
      <c r="AP296" s="8"/>
      <c r="AQ296" s="8"/>
      <c r="AR296" s="8"/>
      <c r="AS296" s="8"/>
      <c r="AT296" s="8"/>
      <c r="AU296" s="8"/>
      <c r="AV296" s="8"/>
      <c r="AW296" s="8"/>
      <c r="AX296" s="8"/>
      <c r="AY296" s="8"/>
      <c r="AZ296" s="8"/>
      <c r="BA296" s="8"/>
      <c r="BB296" s="8"/>
      <c r="BC296" s="8"/>
      <c r="BD296" s="8"/>
      <c r="BE296" s="8"/>
      <c r="BF296" s="8"/>
      <c r="BG296" s="8"/>
      <c r="BH296" s="8"/>
      <c r="BI296" s="8"/>
    </row>
    <row r="297" spans="1:61" s="7" customFormat="1" x14ac:dyDescent="0.2">
      <c r="A297" s="118"/>
      <c r="B297" s="118"/>
      <c r="C297" s="118"/>
      <c r="D297" s="118"/>
      <c r="E297" s="118"/>
      <c r="F297" s="163"/>
      <c r="G297" s="163"/>
      <c r="H297" s="163"/>
      <c r="I297" s="163" t="s">
        <v>206</v>
      </c>
      <c r="J297" s="163" t="s">
        <v>207</v>
      </c>
      <c r="K297" s="163"/>
      <c r="L297" s="163"/>
      <c r="M297" s="163"/>
      <c r="N297" s="163"/>
      <c r="O297" s="1"/>
      <c r="P297" s="124"/>
      <c r="Q297" s="122"/>
      <c r="R297" s="122"/>
      <c r="S297" s="122"/>
      <c r="T297" s="1"/>
      <c r="U297" s="1"/>
      <c r="V297" s="1"/>
      <c r="W297" s="1"/>
      <c r="X297" s="1"/>
      <c r="Y297" s="1"/>
      <c r="Z297" s="1"/>
      <c r="AA297" s="1"/>
      <c r="AB297" s="1"/>
      <c r="AC297" s="1"/>
      <c r="AD297" s="1"/>
      <c r="AE297" s="1"/>
      <c r="AF297" s="1"/>
      <c r="AG297" s="1"/>
      <c r="AH297" s="1"/>
      <c r="AI297" s="1"/>
      <c r="AJ297" s="1"/>
      <c r="AK297" s="1"/>
      <c r="AL297" s="1"/>
      <c r="AM297" s="1"/>
      <c r="AN297" s="1"/>
      <c r="AO297" s="8"/>
      <c r="AP297" s="8"/>
      <c r="AQ297" s="8"/>
      <c r="AR297" s="8"/>
      <c r="AS297" s="8"/>
      <c r="AT297" s="8"/>
      <c r="AU297" s="8"/>
      <c r="AV297" s="8"/>
      <c r="AW297" s="8"/>
      <c r="AX297" s="8"/>
      <c r="AY297" s="8"/>
      <c r="AZ297" s="8"/>
      <c r="BA297" s="8"/>
      <c r="BB297" s="8"/>
      <c r="BC297" s="8"/>
      <c r="BD297" s="8"/>
      <c r="BE297" s="8"/>
      <c r="BF297" s="8"/>
      <c r="BG297" s="8"/>
      <c r="BH297" s="8"/>
      <c r="BI297" s="8"/>
    </row>
    <row r="298" spans="1:61" s="7" customFormat="1" x14ac:dyDescent="0.2">
      <c r="A298" s="118"/>
      <c r="B298" s="118"/>
      <c r="C298" s="118"/>
      <c r="D298" s="118"/>
      <c r="E298" s="118"/>
      <c r="F298" s="163"/>
      <c r="G298" s="163"/>
      <c r="H298" s="163"/>
      <c r="I298" s="118" t="s">
        <v>425</v>
      </c>
      <c r="J298" s="163" t="s">
        <v>424</v>
      </c>
      <c r="K298" s="163"/>
      <c r="L298" s="163"/>
      <c r="M298" s="163"/>
      <c r="N298" s="163"/>
      <c r="O298" s="1"/>
      <c r="P298" s="124"/>
      <c r="Q298" s="122"/>
      <c r="R298" s="122"/>
      <c r="S298" s="122"/>
      <c r="T298" s="1"/>
      <c r="U298" s="1"/>
      <c r="V298" s="1"/>
      <c r="W298" s="1"/>
      <c r="X298" s="1"/>
      <c r="Y298" s="1"/>
      <c r="Z298" s="1"/>
      <c r="AA298" s="1"/>
      <c r="AB298" s="1"/>
      <c r="AC298" s="1"/>
      <c r="AD298" s="1"/>
      <c r="AE298" s="1"/>
      <c r="AF298" s="1"/>
      <c r="AG298" s="1"/>
      <c r="AH298" s="1"/>
      <c r="AI298" s="1"/>
      <c r="AJ298" s="1"/>
      <c r="AK298" s="1"/>
      <c r="AL298" s="1"/>
      <c r="AM298" s="1"/>
      <c r="AN298" s="1"/>
      <c r="AO298" s="8"/>
      <c r="AP298" s="8"/>
      <c r="AQ298" s="8"/>
      <c r="AR298" s="8"/>
      <c r="AS298" s="8"/>
      <c r="AT298" s="8"/>
      <c r="AU298" s="8"/>
      <c r="AV298" s="8"/>
      <c r="AW298" s="8"/>
      <c r="AX298" s="8"/>
      <c r="AY298" s="8"/>
      <c r="AZ298" s="8"/>
      <c r="BA298" s="8"/>
      <c r="BB298" s="8"/>
      <c r="BC298" s="8"/>
      <c r="BD298" s="8"/>
      <c r="BE298" s="8"/>
      <c r="BF298" s="8"/>
      <c r="BG298" s="8"/>
      <c r="BH298" s="8"/>
      <c r="BI298" s="8"/>
    </row>
    <row r="299" spans="1:61" s="7" customFormat="1" x14ac:dyDescent="0.2">
      <c r="A299" s="118"/>
      <c r="B299" s="118"/>
      <c r="C299" s="118"/>
      <c r="D299" s="118"/>
      <c r="E299" s="118"/>
      <c r="F299" s="163"/>
      <c r="G299" s="163"/>
      <c r="H299" s="163"/>
      <c r="I299" s="163" t="s">
        <v>372</v>
      </c>
      <c r="J299" s="161" t="str">
        <f>IF(T37=0, "", CONCATENATE("If you'd like to reduce your expenses or look for ways to improve your budget, we can offer you ", IF(G376&gt;4, G376, "some"), " suggestions if you select 'Yes' at the bottom of your budget."))</f>
        <v/>
      </c>
      <c r="K299" s="163"/>
      <c r="L299" s="163"/>
      <c r="M299" s="163"/>
      <c r="N299" s="163"/>
      <c r="O299" s="1"/>
      <c r="P299" s="124"/>
      <c r="Q299" s="122"/>
      <c r="R299" s="122"/>
      <c r="S299" s="122"/>
      <c r="T299" s="1"/>
      <c r="U299" s="1"/>
      <c r="V299" s="1"/>
      <c r="W299" s="1"/>
      <c r="X299" s="1"/>
      <c r="Y299" s="1"/>
      <c r="Z299" s="1"/>
      <c r="AA299" s="1"/>
      <c r="AB299" s="1"/>
      <c r="AC299" s="1"/>
      <c r="AD299" s="1"/>
      <c r="AE299" s="1"/>
      <c r="AF299" s="1"/>
      <c r="AG299" s="1"/>
      <c r="AH299" s="1"/>
      <c r="AI299" s="1"/>
      <c r="AJ299" s="1"/>
      <c r="AK299" s="1"/>
      <c r="AL299" s="1"/>
      <c r="AM299" s="1"/>
      <c r="AN299" s="1"/>
      <c r="AO299" s="8"/>
      <c r="AP299" s="8"/>
      <c r="AQ299" s="8"/>
      <c r="AR299" s="8"/>
      <c r="AS299" s="8"/>
      <c r="AT299" s="8"/>
      <c r="AU299" s="8"/>
      <c r="AV299" s="8"/>
      <c r="AW299" s="8"/>
      <c r="AX299" s="8"/>
      <c r="AY299" s="8"/>
      <c r="AZ299" s="8"/>
      <c r="BA299" s="8"/>
      <c r="BB299" s="8"/>
      <c r="BC299" s="8"/>
      <c r="BD299" s="8"/>
      <c r="BE299" s="8"/>
      <c r="BF299" s="8"/>
      <c r="BG299" s="8"/>
      <c r="BH299" s="8"/>
      <c r="BI299" s="8"/>
    </row>
    <row r="300" spans="1:61" s="7" customFormat="1" x14ac:dyDescent="0.2">
      <c r="A300" s="118"/>
      <c r="B300" s="118"/>
      <c r="C300" s="118"/>
      <c r="D300" s="118"/>
      <c r="E300" s="118"/>
      <c r="F300" s="163"/>
      <c r="G300" s="163"/>
      <c r="H300" s="163"/>
      <c r="I300" s="163"/>
      <c r="J300" s="163"/>
      <c r="K300" s="163"/>
      <c r="L300" s="163"/>
      <c r="M300" s="163"/>
      <c r="N300" s="163"/>
      <c r="O300" s="1"/>
      <c r="P300" s="124"/>
      <c r="Q300" s="122"/>
      <c r="R300" s="122"/>
      <c r="S300" s="122"/>
      <c r="T300" s="1"/>
      <c r="U300" s="1"/>
      <c r="V300" s="1"/>
      <c r="W300" s="1"/>
      <c r="X300" s="1"/>
      <c r="Y300" s="1"/>
      <c r="Z300" s="1"/>
      <c r="AA300" s="1"/>
      <c r="AB300" s="1"/>
      <c r="AC300" s="1"/>
      <c r="AD300" s="1"/>
      <c r="AE300" s="1"/>
      <c r="AF300" s="1"/>
      <c r="AG300" s="1"/>
      <c r="AH300" s="1"/>
      <c r="AI300" s="1"/>
      <c r="AJ300" s="1"/>
      <c r="AK300" s="1"/>
      <c r="AL300" s="1"/>
      <c r="AM300" s="1"/>
      <c r="AN300" s="1"/>
      <c r="AO300" s="8"/>
      <c r="AP300" s="8"/>
      <c r="AQ300" s="8"/>
      <c r="AR300" s="8"/>
      <c r="AS300" s="8"/>
      <c r="AT300" s="8"/>
      <c r="AU300" s="8"/>
      <c r="AV300" s="8"/>
      <c r="AW300" s="8"/>
      <c r="AX300" s="8"/>
      <c r="AY300" s="8"/>
      <c r="AZ300" s="8"/>
      <c r="BA300" s="8"/>
      <c r="BB300" s="8"/>
      <c r="BC300" s="8"/>
      <c r="BD300" s="8"/>
      <c r="BE300" s="8"/>
      <c r="BF300" s="8"/>
      <c r="BG300" s="8"/>
      <c r="BH300" s="8"/>
      <c r="BI300" s="8"/>
    </row>
    <row r="301" spans="1:61" s="7" customFormat="1" x14ac:dyDescent="0.2">
      <c r="A301" s="118"/>
      <c r="B301" s="118"/>
      <c r="C301" s="118"/>
      <c r="D301" s="118"/>
      <c r="E301" s="118"/>
      <c r="F301" s="163"/>
      <c r="G301" s="163"/>
      <c r="H301" s="163"/>
      <c r="I301" s="207" t="s">
        <v>121</v>
      </c>
      <c r="J301" s="207" t="s">
        <v>118</v>
      </c>
      <c r="K301" s="163"/>
      <c r="L301" s="163"/>
      <c r="M301" s="163"/>
      <c r="N301" s="163"/>
      <c r="O301" s="1"/>
      <c r="P301" s="124"/>
      <c r="Q301" s="122"/>
      <c r="R301" s="122"/>
      <c r="S301" s="122"/>
      <c r="T301" s="1"/>
      <c r="U301" s="1"/>
      <c r="V301" s="1"/>
      <c r="W301" s="1"/>
      <c r="X301" s="1"/>
      <c r="Y301" s="1"/>
      <c r="Z301" s="1"/>
      <c r="AA301" s="1"/>
      <c r="AB301" s="1"/>
      <c r="AC301" s="1"/>
      <c r="AD301" s="1"/>
      <c r="AE301" s="1"/>
      <c r="AF301" s="1"/>
      <c r="AG301" s="1"/>
      <c r="AH301" s="1"/>
      <c r="AI301" s="1"/>
      <c r="AJ301" s="1"/>
      <c r="AK301" s="1"/>
      <c r="AL301" s="1"/>
      <c r="AM301" s="1"/>
      <c r="AN301" s="1"/>
      <c r="AO301" s="8"/>
      <c r="AP301" s="8"/>
      <c r="AQ301" s="8"/>
      <c r="AR301" s="8"/>
      <c r="AS301" s="8"/>
      <c r="AT301" s="8"/>
      <c r="AU301" s="8"/>
      <c r="AV301" s="8"/>
      <c r="AW301" s="8"/>
      <c r="AX301" s="8"/>
      <c r="AY301" s="8"/>
      <c r="AZ301" s="8"/>
      <c r="BA301" s="8"/>
      <c r="BB301" s="8"/>
      <c r="BC301" s="8"/>
      <c r="BD301" s="8"/>
      <c r="BE301" s="8"/>
      <c r="BF301" s="8"/>
      <c r="BG301" s="8"/>
      <c r="BH301" s="8"/>
      <c r="BI301" s="8"/>
    </row>
    <row r="302" spans="1:61" s="7" customFormat="1" x14ac:dyDescent="0.2">
      <c r="A302" s="118"/>
      <c r="B302" s="118"/>
      <c r="C302" s="118"/>
      <c r="D302" s="118"/>
      <c r="E302" s="118"/>
      <c r="F302" s="163"/>
      <c r="G302" s="163"/>
      <c r="H302" s="163"/>
      <c r="I302" s="163" t="s">
        <v>122</v>
      </c>
      <c r="J302" s="167" t="s">
        <v>123</v>
      </c>
      <c r="K302" s="163"/>
      <c r="L302" s="163"/>
      <c r="M302" s="163"/>
      <c r="N302" s="163"/>
      <c r="O302" s="1"/>
      <c r="P302" s="124"/>
      <c r="Q302" s="122"/>
      <c r="R302" s="122"/>
      <c r="S302" s="122"/>
      <c r="T302" s="1"/>
      <c r="U302" s="1"/>
      <c r="V302" s="1"/>
      <c r="W302" s="1"/>
      <c r="X302" s="1"/>
      <c r="Y302" s="1"/>
      <c r="Z302" s="1"/>
      <c r="AA302" s="1"/>
      <c r="AB302" s="1"/>
      <c r="AC302" s="1"/>
      <c r="AD302" s="1"/>
      <c r="AE302" s="1"/>
      <c r="AF302" s="1"/>
      <c r="AG302" s="1"/>
      <c r="AH302" s="1"/>
      <c r="AI302" s="1"/>
      <c r="AJ302" s="1"/>
      <c r="AK302" s="1"/>
      <c r="AL302" s="1"/>
      <c r="AM302" s="1"/>
      <c r="AN302" s="1"/>
      <c r="AO302" s="8"/>
      <c r="AP302" s="8"/>
      <c r="AQ302" s="8"/>
      <c r="AR302" s="8"/>
      <c r="AS302" s="8"/>
      <c r="AT302" s="8"/>
      <c r="AU302" s="8"/>
      <c r="AV302" s="8"/>
      <c r="AW302" s="8"/>
      <c r="AX302" s="8"/>
      <c r="AY302" s="8"/>
      <c r="AZ302" s="8"/>
      <c r="BA302" s="8"/>
      <c r="BB302" s="8"/>
      <c r="BC302" s="8"/>
      <c r="BD302" s="8"/>
      <c r="BE302" s="8"/>
      <c r="BF302" s="8"/>
      <c r="BG302" s="8"/>
      <c r="BH302" s="8"/>
      <c r="BI302" s="8"/>
    </row>
    <row r="303" spans="1:61" s="7" customFormat="1" x14ac:dyDescent="0.2">
      <c r="A303" s="118"/>
      <c r="B303" s="118"/>
      <c r="C303" s="118"/>
      <c r="D303" s="118"/>
      <c r="E303" s="118"/>
      <c r="F303" s="163"/>
      <c r="G303" s="163"/>
      <c r="H303" s="163"/>
      <c r="I303" s="163"/>
      <c r="J303" s="163" t="s">
        <v>149</v>
      </c>
      <c r="K303" s="163"/>
      <c r="L303" s="163"/>
      <c r="M303" s="163"/>
      <c r="N303" s="163"/>
      <c r="O303" s="1"/>
      <c r="P303" s="124"/>
      <c r="Q303" s="122"/>
      <c r="R303" s="122"/>
      <c r="S303" s="122"/>
      <c r="T303" s="1"/>
      <c r="U303" s="1"/>
      <c r="V303" s="1"/>
      <c r="W303" s="1"/>
      <c r="X303" s="1"/>
      <c r="Y303" s="1"/>
      <c r="Z303" s="1"/>
      <c r="AA303" s="1"/>
      <c r="AB303" s="1"/>
      <c r="AC303" s="1"/>
      <c r="AD303" s="1"/>
      <c r="AE303" s="1"/>
      <c r="AF303" s="1"/>
      <c r="AG303" s="1"/>
      <c r="AH303" s="1"/>
      <c r="AI303" s="1"/>
      <c r="AJ303" s="1"/>
      <c r="AK303" s="1"/>
      <c r="AL303" s="1"/>
      <c r="AM303" s="1"/>
      <c r="AN303" s="1"/>
      <c r="AO303" s="8"/>
      <c r="AP303" s="8"/>
      <c r="AQ303" s="8"/>
      <c r="AR303" s="8"/>
      <c r="AS303" s="8"/>
      <c r="AT303" s="8"/>
      <c r="AU303" s="8"/>
      <c r="AV303" s="8"/>
      <c r="AW303" s="8"/>
      <c r="AX303" s="8"/>
      <c r="AY303" s="8"/>
      <c r="AZ303" s="8"/>
      <c r="BA303" s="8"/>
      <c r="BB303" s="8"/>
      <c r="BC303" s="8"/>
      <c r="BD303" s="8"/>
      <c r="BE303" s="8"/>
      <c r="BF303" s="8"/>
      <c r="BG303" s="8"/>
      <c r="BH303" s="8"/>
      <c r="BI303" s="8"/>
    </row>
    <row r="304" spans="1:61" s="7" customFormat="1" x14ac:dyDescent="0.2">
      <c r="A304" s="118"/>
      <c r="B304" s="118"/>
      <c r="C304" s="118"/>
      <c r="D304" s="118"/>
      <c r="E304" s="118"/>
      <c r="F304" s="163"/>
      <c r="G304" s="163"/>
      <c r="H304" s="163"/>
      <c r="I304" s="163" t="s">
        <v>311</v>
      </c>
      <c r="J304" s="163" t="s">
        <v>320</v>
      </c>
      <c r="K304" s="163"/>
      <c r="L304" s="163"/>
      <c r="M304" s="163"/>
      <c r="N304" s="163"/>
      <c r="O304" s="1"/>
      <c r="P304" s="124"/>
      <c r="Q304" s="122"/>
      <c r="R304" s="122"/>
      <c r="S304" s="122"/>
      <c r="T304" s="1"/>
      <c r="U304" s="1"/>
      <c r="V304" s="1"/>
      <c r="W304" s="1"/>
      <c r="X304" s="1"/>
      <c r="Y304" s="1"/>
      <c r="Z304" s="1"/>
      <c r="AA304" s="1"/>
      <c r="AB304" s="1"/>
      <c r="AC304" s="1"/>
      <c r="AD304" s="1"/>
      <c r="AE304" s="1"/>
      <c r="AF304" s="1"/>
      <c r="AG304" s="1"/>
      <c r="AH304" s="1"/>
      <c r="AI304" s="1"/>
      <c r="AJ304" s="1"/>
      <c r="AK304" s="1"/>
      <c r="AL304" s="1"/>
      <c r="AM304" s="1"/>
      <c r="AN304" s="1"/>
      <c r="AO304" s="8"/>
      <c r="AP304" s="8"/>
      <c r="AQ304" s="8"/>
      <c r="AR304" s="8"/>
      <c r="AS304" s="8"/>
      <c r="AT304" s="8"/>
      <c r="AU304" s="8"/>
      <c r="AV304" s="8"/>
      <c r="AW304" s="8"/>
      <c r="AX304" s="8"/>
      <c r="AY304" s="8"/>
      <c r="AZ304" s="8"/>
      <c r="BA304" s="8"/>
      <c r="BB304" s="8"/>
      <c r="BC304" s="8"/>
      <c r="BD304" s="8"/>
      <c r="BE304" s="8"/>
      <c r="BF304" s="8"/>
      <c r="BG304" s="8"/>
      <c r="BH304" s="8"/>
      <c r="BI304" s="8"/>
    </row>
    <row r="305" spans="1:61" s="7" customFormat="1" x14ac:dyDescent="0.2">
      <c r="A305" s="118"/>
      <c r="B305" s="118"/>
      <c r="C305" s="118"/>
      <c r="D305" s="118"/>
      <c r="E305" s="118"/>
      <c r="F305" s="163"/>
      <c r="G305" s="163"/>
      <c r="H305" s="163"/>
      <c r="I305" s="163"/>
      <c r="J305" s="163"/>
      <c r="K305" s="163"/>
      <c r="L305" s="163"/>
      <c r="M305" s="163"/>
      <c r="N305" s="163"/>
      <c r="O305" s="1"/>
      <c r="P305" s="124"/>
      <c r="Q305" s="122"/>
      <c r="R305" s="122"/>
      <c r="S305" s="122"/>
      <c r="T305" s="1"/>
      <c r="U305" s="1"/>
      <c r="V305" s="1"/>
      <c r="W305" s="1"/>
      <c r="X305" s="1"/>
      <c r="Y305" s="1"/>
      <c r="Z305" s="1"/>
      <c r="AA305" s="1"/>
      <c r="AB305" s="1"/>
      <c r="AC305" s="1"/>
      <c r="AD305" s="1"/>
      <c r="AE305" s="1"/>
      <c r="AF305" s="1"/>
      <c r="AG305" s="1"/>
      <c r="AH305" s="1"/>
      <c r="AI305" s="1"/>
      <c r="AJ305" s="1"/>
      <c r="AK305" s="1"/>
      <c r="AL305" s="1"/>
      <c r="AM305" s="1"/>
      <c r="AN305" s="1"/>
      <c r="AO305" s="8"/>
      <c r="AP305" s="8"/>
      <c r="AQ305" s="8"/>
      <c r="AR305" s="8"/>
      <c r="AS305" s="8"/>
      <c r="AT305" s="8"/>
      <c r="AU305" s="8"/>
      <c r="AV305" s="8"/>
      <c r="AW305" s="8"/>
      <c r="AX305" s="8"/>
      <c r="AY305" s="8"/>
      <c r="AZ305" s="8"/>
      <c r="BA305" s="8"/>
      <c r="BB305" s="8"/>
      <c r="BC305" s="8"/>
      <c r="BD305" s="8"/>
      <c r="BE305" s="8"/>
      <c r="BF305" s="8"/>
      <c r="BG305" s="8"/>
      <c r="BH305" s="8"/>
      <c r="BI305" s="8"/>
    </row>
    <row r="306" spans="1:61" s="7" customFormat="1" x14ac:dyDescent="0.2">
      <c r="A306" s="118"/>
      <c r="B306" s="118"/>
      <c r="C306" s="118"/>
      <c r="D306" s="118"/>
      <c r="E306" s="118"/>
      <c r="F306" s="163"/>
      <c r="G306" s="163"/>
      <c r="H306" s="163"/>
      <c r="I306" s="163" t="s">
        <v>312</v>
      </c>
      <c r="J306" s="117" t="s">
        <v>324</v>
      </c>
      <c r="K306" s="163"/>
      <c r="L306" s="163"/>
      <c r="M306" s="163"/>
      <c r="N306" s="163"/>
      <c r="O306" s="1"/>
      <c r="P306" s="124"/>
      <c r="Q306" s="122"/>
      <c r="R306" s="122"/>
      <c r="S306" s="122"/>
      <c r="T306" s="1"/>
      <c r="U306" s="1"/>
      <c r="V306" s="1"/>
      <c r="W306" s="1"/>
      <c r="X306" s="1"/>
      <c r="Y306" s="1"/>
      <c r="Z306" s="1"/>
      <c r="AA306" s="1"/>
      <c r="AB306" s="1"/>
      <c r="AC306" s="1"/>
      <c r="AD306" s="1"/>
      <c r="AE306" s="1"/>
      <c r="AF306" s="1"/>
      <c r="AG306" s="1"/>
      <c r="AH306" s="1"/>
      <c r="AI306" s="1"/>
      <c r="AJ306" s="1"/>
      <c r="AK306" s="1"/>
      <c r="AL306" s="1"/>
      <c r="AM306" s="1"/>
      <c r="AN306" s="1"/>
      <c r="AO306" s="8"/>
      <c r="AP306" s="8"/>
      <c r="AQ306" s="8"/>
      <c r="AR306" s="8"/>
      <c r="AS306" s="8"/>
      <c r="AT306" s="8"/>
      <c r="AU306" s="8"/>
      <c r="AV306" s="8"/>
      <c r="AW306" s="8"/>
      <c r="AX306" s="8"/>
      <c r="AY306" s="8"/>
      <c r="AZ306" s="8"/>
      <c r="BA306" s="8"/>
      <c r="BB306" s="8"/>
      <c r="BC306" s="8"/>
      <c r="BD306" s="8"/>
      <c r="BE306" s="8"/>
      <c r="BF306" s="8"/>
      <c r="BG306" s="8"/>
      <c r="BH306" s="8"/>
      <c r="BI306" s="8"/>
    </row>
    <row r="307" spans="1:61" s="7" customFormat="1" x14ac:dyDescent="0.2">
      <c r="A307" s="118"/>
      <c r="B307" s="118"/>
      <c r="C307" s="118"/>
      <c r="D307" s="118"/>
      <c r="E307" s="118"/>
      <c r="F307" s="163"/>
      <c r="G307" s="163"/>
      <c r="H307" s="163"/>
      <c r="I307" s="163" t="s">
        <v>323</v>
      </c>
      <c r="J307" s="163" t="s">
        <v>322</v>
      </c>
      <c r="K307" s="163"/>
      <c r="L307" s="163"/>
      <c r="M307" s="163"/>
      <c r="N307" s="163"/>
      <c r="O307" s="1"/>
      <c r="P307" s="124"/>
      <c r="Q307" s="122"/>
      <c r="R307" s="122"/>
      <c r="S307" s="122"/>
      <c r="T307" s="1"/>
      <c r="U307" s="1"/>
      <c r="V307" s="1"/>
      <c r="W307" s="1"/>
      <c r="X307" s="1"/>
      <c r="Y307" s="1"/>
      <c r="Z307" s="1"/>
      <c r="AA307" s="1"/>
      <c r="AB307" s="1"/>
      <c r="AC307" s="1"/>
      <c r="AD307" s="1"/>
      <c r="AE307" s="1"/>
      <c r="AF307" s="1"/>
      <c r="AG307" s="1"/>
      <c r="AH307" s="1"/>
      <c r="AI307" s="1"/>
      <c r="AJ307" s="1"/>
      <c r="AK307" s="1"/>
      <c r="AL307" s="1"/>
      <c r="AM307" s="1"/>
      <c r="AN307" s="1"/>
      <c r="AO307" s="8"/>
      <c r="AP307" s="8"/>
      <c r="AQ307" s="8"/>
      <c r="AR307" s="8"/>
      <c r="AS307" s="8"/>
      <c r="AT307" s="8"/>
      <c r="AU307" s="8"/>
      <c r="AV307" s="8"/>
      <c r="AW307" s="8"/>
      <c r="AX307" s="8"/>
      <c r="AY307" s="8"/>
      <c r="AZ307" s="8"/>
      <c r="BA307" s="8"/>
      <c r="BB307" s="8"/>
      <c r="BC307" s="8"/>
      <c r="BD307" s="8"/>
      <c r="BE307" s="8"/>
      <c r="BF307" s="8"/>
      <c r="BG307" s="8"/>
      <c r="BH307" s="8"/>
      <c r="BI307" s="8"/>
    </row>
    <row r="308" spans="1:61" s="7" customFormat="1" x14ac:dyDescent="0.2">
      <c r="A308" s="118"/>
      <c r="B308" s="118"/>
      <c r="C308" s="118"/>
      <c r="D308" s="118"/>
      <c r="E308" s="118"/>
      <c r="F308" s="163"/>
      <c r="G308" s="163"/>
      <c r="H308" s="163"/>
      <c r="I308" s="163" t="s">
        <v>338</v>
      </c>
      <c r="J308" s="163" t="s">
        <v>337</v>
      </c>
      <c r="K308" s="163"/>
      <c r="L308" s="163"/>
      <c r="M308" s="163"/>
      <c r="N308" s="163"/>
      <c r="O308" s="1"/>
      <c r="P308" s="124"/>
      <c r="Q308" s="122"/>
      <c r="R308" s="122"/>
      <c r="S308" s="122"/>
      <c r="T308" s="1"/>
      <c r="U308" s="1"/>
      <c r="V308" s="1"/>
      <c r="W308" s="1"/>
      <c r="X308" s="1"/>
      <c r="Y308" s="1"/>
      <c r="Z308" s="1"/>
      <c r="AA308" s="1"/>
      <c r="AB308" s="1"/>
      <c r="AC308" s="1"/>
      <c r="AD308" s="1"/>
      <c r="AE308" s="1"/>
      <c r="AF308" s="1"/>
      <c r="AG308" s="1"/>
      <c r="AH308" s="1"/>
      <c r="AI308" s="1"/>
      <c r="AJ308" s="1"/>
      <c r="AK308" s="1"/>
      <c r="AL308" s="1"/>
      <c r="AM308" s="1"/>
      <c r="AN308" s="1"/>
      <c r="AO308" s="8"/>
      <c r="AP308" s="8"/>
      <c r="AQ308" s="8"/>
      <c r="AR308" s="8"/>
      <c r="AS308" s="8"/>
      <c r="AT308" s="8"/>
      <c r="AU308" s="8"/>
      <c r="AV308" s="8"/>
      <c r="AW308" s="8"/>
      <c r="AX308" s="8"/>
      <c r="AY308" s="8"/>
      <c r="AZ308" s="8"/>
      <c r="BA308" s="8"/>
      <c r="BB308" s="8"/>
      <c r="BC308" s="8"/>
      <c r="BD308" s="8"/>
      <c r="BE308" s="8"/>
      <c r="BF308" s="8"/>
      <c r="BG308" s="8"/>
      <c r="BH308" s="8"/>
      <c r="BI308" s="8"/>
    </row>
    <row r="309" spans="1:61" s="7" customFormat="1" x14ac:dyDescent="0.2">
      <c r="A309" s="118"/>
      <c r="B309" s="118"/>
      <c r="C309" s="118"/>
      <c r="D309" s="118"/>
      <c r="E309" s="118"/>
      <c r="F309" s="163"/>
      <c r="G309" s="163"/>
      <c r="H309" s="163"/>
      <c r="I309" s="163" t="s">
        <v>338</v>
      </c>
      <c r="J309" s="163" t="s">
        <v>339</v>
      </c>
      <c r="K309" s="163"/>
      <c r="L309" s="163"/>
      <c r="M309" s="163"/>
      <c r="N309" s="163"/>
      <c r="O309" s="1"/>
      <c r="P309" s="124"/>
      <c r="Q309" s="122"/>
      <c r="R309" s="122"/>
      <c r="S309" s="122"/>
      <c r="T309" s="1"/>
      <c r="U309" s="1"/>
      <c r="V309" s="1"/>
      <c r="W309" s="1"/>
      <c r="X309" s="1"/>
      <c r="Y309" s="1"/>
      <c r="Z309" s="1"/>
      <c r="AA309" s="1"/>
      <c r="AB309" s="1"/>
      <c r="AC309" s="1"/>
      <c r="AD309" s="1"/>
      <c r="AE309" s="1"/>
      <c r="AF309" s="1"/>
      <c r="AG309" s="1"/>
      <c r="AH309" s="1"/>
      <c r="AI309" s="1"/>
      <c r="AJ309" s="1"/>
      <c r="AK309" s="1"/>
      <c r="AL309" s="1"/>
      <c r="AM309" s="1"/>
      <c r="AN309" s="1"/>
      <c r="AO309" s="8"/>
      <c r="AP309" s="8"/>
      <c r="AQ309" s="8"/>
      <c r="AR309" s="8"/>
      <c r="AS309" s="8"/>
      <c r="AT309" s="8"/>
      <c r="AU309" s="8"/>
      <c r="AV309" s="8"/>
      <c r="AW309" s="8"/>
      <c r="AX309" s="8"/>
      <c r="AY309" s="8"/>
      <c r="AZ309" s="8"/>
      <c r="BA309" s="8"/>
      <c r="BB309" s="8"/>
      <c r="BC309" s="8"/>
      <c r="BD309" s="8"/>
      <c r="BE309" s="8"/>
      <c r="BF309" s="8"/>
      <c r="BG309" s="8"/>
      <c r="BH309" s="8"/>
      <c r="BI309" s="8"/>
    </row>
    <row r="310" spans="1:61" s="7" customFormat="1" x14ac:dyDescent="0.2">
      <c r="A310" s="118"/>
      <c r="B310" s="118"/>
      <c r="C310" s="118"/>
      <c r="D310" s="118"/>
      <c r="E310" s="118"/>
      <c r="F310" s="163"/>
      <c r="G310" s="163"/>
      <c r="H310" s="163"/>
      <c r="I310" s="163" t="s">
        <v>427</v>
      </c>
      <c r="J310" s="163" t="s">
        <v>426</v>
      </c>
      <c r="K310" s="163"/>
      <c r="L310" s="163"/>
      <c r="M310" s="163"/>
      <c r="N310" s="163"/>
      <c r="O310" s="116"/>
      <c r="P310" s="124"/>
      <c r="Q310" s="122"/>
      <c r="R310" s="122"/>
      <c r="S310" s="122"/>
      <c r="T310" s="116"/>
      <c r="U310" s="116"/>
      <c r="V310" s="116"/>
      <c r="W310" s="116"/>
      <c r="X310" s="116"/>
      <c r="Y310" s="116"/>
      <c r="Z310" s="116"/>
      <c r="AA310" s="116"/>
      <c r="AB310" s="116"/>
      <c r="AC310" s="116"/>
      <c r="AD310" s="116"/>
      <c r="AE310" s="116"/>
      <c r="AF310" s="116"/>
      <c r="AG310" s="116"/>
      <c r="AH310" s="116"/>
      <c r="AI310" s="116"/>
      <c r="AJ310" s="116"/>
      <c r="AK310" s="116"/>
      <c r="AL310" s="116"/>
      <c r="AM310" s="116"/>
      <c r="AN310" s="116"/>
      <c r="AO310" s="8"/>
      <c r="AP310" s="8"/>
      <c r="AQ310" s="8"/>
      <c r="AR310" s="8"/>
      <c r="AS310" s="8"/>
      <c r="AT310" s="8"/>
      <c r="AU310" s="8"/>
      <c r="AV310" s="8"/>
      <c r="AW310" s="8"/>
      <c r="AX310" s="8"/>
      <c r="AY310" s="8"/>
      <c r="AZ310" s="8"/>
      <c r="BA310" s="8"/>
      <c r="BB310" s="8"/>
      <c r="BC310" s="8"/>
      <c r="BD310" s="8"/>
      <c r="BE310" s="8"/>
      <c r="BF310" s="8"/>
      <c r="BG310" s="8"/>
      <c r="BH310" s="8"/>
      <c r="BI310" s="8"/>
    </row>
    <row r="311" spans="1:61" s="7" customFormat="1" x14ac:dyDescent="0.2">
      <c r="A311" s="118"/>
      <c r="B311" s="118"/>
      <c r="C311" s="118"/>
      <c r="D311" s="118"/>
      <c r="E311" s="118"/>
      <c r="F311" s="163"/>
      <c r="G311" s="163"/>
      <c r="H311" s="163"/>
      <c r="I311" s="163"/>
      <c r="J311" s="163"/>
      <c r="K311" s="163"/>
      <c r="L311" s="163"/>
      <c r="M311" s="163"/>
      <c r="N311" s="163"/>
      <c r="O311" s="116"/>
      <c r="P311" s="124"/>
      <c r="Q311" s="122"/>
      <c r="R311" s="122"/>
      <c r="S311" s="122"/>
      <c r="T311" s="116"/>
      <c r="U311" s="116"/>
      <c r="V311" s="116"/>
      <c r="W311" s="116"/>
      <c r="X311" s="116"/>
      <c r="Y311" s="116"/>
      <c r="Z311" s="116"/>
      <c r="AA311" s="116"/>
      <c r="AB311" s="116"/>
      <c r="AC311" s="116"/>
      <c r="AD311" s="116"/>
      <c r="AE311" s="116"/>
      <c r="AF311" s="116"/>
      <c r="AG311" s="116"/>
      <c r="AH311" s="116"/>
      <c r="AI311" s="116"/>
      <c r="AJ311" s="116"/>
      <c r="AK311" s="116"/>
      <c r="AL311" s="116"/>
      <c r="AM311" s="116"/>
      <c r="AN311" s="116"/>
      <c r="AO311" s="8"/>
      <c r="AP311" s="8"/>
      <c r="AQ311" s="8"/>
      <c r="AR311" s="8"/>
      <c r="AS311" s="8"/>
      <c r="AT311" s="8"/>
      <c r="AU311" s="8"/>
      <c r="AV311" s="8"/>
      <c r="AW311" s="8"/>
      <c r="AX311" s="8"/>
      <c r="AY311" s="8"/>
      <c r="AZ311" s="8"/>
      <c r="BA311" s="8"/>
      <c r="BB311" s="8"/>
      <c r="BC311" s="8"/>
      <c r="BD311" s="8"/>
      <c r="BE311" s="8"/>
      <c r="BF311" s="8"/>
      <c r="BG311" s="8"/>
      <c r="BH311" s="8"/>
      <c r="BI311" s="8"/>
    </row>
    <row r="312" spans="1:61" s="7" customFormat="1" x14ac:dyDescent="0.2">
      <c r="A312" s="118"/>
      <c r="B312" s="118"/>
      <c r="C312" s="118"/>
      <c r="D312" s="118"/>
      <c r="E312" s="118"/>
      <c r="F312" s="163"/>
      <c r="G312" s="163"/>
      <c r="H312" s="163"/>
      <c r="I312" s="207" t="s">
        <v>154</v>
      </c>
      <c r="J312" s="163"/>
      <c r="K312" s="163"/>
      <c r="L312" s="163"/>
      <c r="M312" s="163"/>
      <c r="N312" s="163"/>
      <c r="O312" s="1"/>
      <c r="P312" s="124"/>
      <c r="Q312" s="122"/>
      <c r="R312" s="122"/>
      <c r="S312" s="122"/>
      <c r="T312" s="1"/>
      <c r="U312" s="1"/>
      <c r="V312" s="1"/>
      <c r="W312" s="1"/>
      <c r="X312" s="1"/>
      <c r="Y312" s="1"/>
      <c r="Z312" s="1"/>
      <c r="AA312" s="1"/>
      <c r="AB312" s="1"/>
      <c r="AC312" s="1"/>
      <c r="AD312" s="1"/>
      <c r="AE312" s="1"/>
      <c r="AF312" s="1"/>
      <c r="AG312" s="1"/>
      <c r="AH312" s="1"/>
      <c r="AI312" s="1"/>
      <c r="AJ312" s="1"/>
      <c r="AK312" s="1"/>
      <c r="AL312" s="1"/>
      <c r="AM312" s="1"/>
      <c r="AN312" s="1"/>
      <c r="AO312" s="8"/>
      <c r="AP312" s="8"/>
      <c r="AQ312" s="8"/>
      <c r="AR312" s="8"/>
      <c r="AS312" s="8"/>
      <c r="AT312" s="8"/>
      <c r="AU312" s="8"/>
      <c r="AV312" s="8"/>
      <c r="AW312" s="8"/>
      <c r="AX312" s="8"/>
      <c r="AY312" s="8"/>
      <c r="AZ312" s="8"/>
      <c r="BA312" s="8"/>
      <c r="BB312" s="8"/>
      <c r="BC312" s="8"/>
      <c r="BD312" s="8"/>
      <c r="BE312" s="8"/>
      <c r="BF312" s="8"/>
      <c r="BG312" s="8"/>
      <c r="BH312" s="8"/>
      <c r="BI312" s="8"/>
    </row>
    <row r="313" spans="1:61" s="7" customFormat="1" x14ac:dyDescent="0.2">
      <c r="A313" s="118"/>
      <c r="B313" s="118"/>
      <c r="C313" s="118"/>
      <c r="D313" s="118"/>
      <c r="E313" s="118"/>
      <c r="F313" s="163"/>
      <c r="G313" s="163"/>
      <c r="H313" s="163"/>
      <c r="I313" s="163"/>
      <c r="J313" s="163" t="s">
        <v>202</v>
      </c>
      <c r="K313" s="163" t="s">
        <v>256</v>
      </c>
      <c r="L313" s="163" t="s">
        <v>255</v>
      </c>
      <c r="M313" s="163"/>
      <c r="N313" s="163"/>
      <c r="O313" s="1"/>
      <c r="P313" s="124"/>
      <c r="Q313" s="122"/>
      <c r="R313" s="122"/>
      <c r="S313" s="122"/>
      <c r="T313" s="1"/>
      <c r="U313" s="1"/>
      <c r="V313" s="1"/>
      <c r="W313" s="1"/>
      <c r="X313" s="1"/>
      <c r="Y313" s="1"/>
      <c r="Z313" s="1"/>
      <c r="AA313" s="1"/>
      <c r="AB313" s="1"/>
      <c r="AC313" s="1"/>
      <c r="AD313" s="1"/>
      <c r="AE313" s="1"/>
      <c r="AF313" s="1"/>
      <c r="AG313" s="1"/>
      <c r="AH313" s="1"/>
      <c r="AI313" s="1"/>
      <c r="AJ313" s="1"/>
      <c r="AK313" s="1"/>
      <c r="AL313" s="1"/>
      <c r="AM313" s="1"/>
      <c r="AN313" s="1"/>
      <c r="AO313" s="8"/>
      <c r="AP313" s="8"/>
      <c r="AQ313" s="8"/>
      <c r="AR313" s="8"/>
      <c r="AS313" s="8"/>
      <c r="AT313" s="8"/>
      <c r="AU313" s="8"/>
      <c r="AV313" s="8"/>
      <c r="AW313" s="8"/>
      <c r="AX313" s="8"/>
      <c r="AY313" s="8"/>
      <c r="AZ313" s="8"/>
      <c r="BA313" s="8"/>
      <c r="BB313" s="8"/>
      <c r="BC313" s="8"/>
      <c r="BD313" s="8"/>
      <c r="BE313" s="8"/>
      <c r="BF313" s="8"/>
      <c r="BG313" s="8"/>
      <c r="BH313" s="8"/>
      <c r="BI313" s="8"/>
    </row>
    <row r="314" spans="1:61" s="7" customFormat="1" x14ac:dyDescent="0.2">
      <c r="A314" s="118"/>
      <c r="B314" s="118"/>
      <c r="C314" s="118"/>
      <c r="D314" s="118"/>
      <c r="E314" s="118"/>
      <c r="F314" s="163"/>
      <c r="G314" s="163"/>
      <c r="H314" s="163"/>
      <c r="I314" s="163" t="str">
        <f>O130</f>
        <v>PERSONAL EXPENSES</v>
      </c>
      <c r="J314" s="200" t="e">
        <f>IF(K326&gt;0,1,0)</f>
        <v>#DIV/0!</v>
      </c>
      <c r="K314" s="163" t="e">
        <f>IF(K326&gt;0,0,1)</f>
        <v>#DIV/0!</v>
      </c>
      <c r="L314" s="163" t="e">
        <f>IF(J314=0, IF(N314=$K$323," and ", IF(N314=1, "", ", ")), "")</f>
        <v>#DIV/0!</v>
      </c>
      <c r="M314" s="163" t="e">
        <f>IF(J314=0,"Personal Expenses", "")</f>
        <v>#DIV/0!</v>
      </c>
      <c r="N314" s="163" t="e">
        <f>K314</f>
        <v>#DIV/0!</v>
      </c>
      <c r="O314" s="1"/>
      <c r="P314" s="124"/>
      <c r="Q314" s="122"/>
      <c r="R314" s="122"/>
      <c r="S314" s="122"/>
      <c r="T314" s="1"/>
      <c r="U314" s="1"/>
      <c r="V314" s="1"/>
      <c r="W314" s="1"/>
      <c r="X314" s="1"/>
      <c r="Y314" s="1"/>
      <c r="Z314" s="1"/>
      <c r="AA314" s="1"/>
      <c r="AB314" s="1"/>
      <c r="AC314" s="1"/>
      <c r="AD314" s="1"/>
      <c r="AE314" s="1"/>
      <c r="AF314" s="1"/>
      <c r="AG314" s="1"/>
      <c r="AH314" s="1"/>
      <c r="AI314" s="1"/>
      <c r="AJ314" s="1"/>
      <c r="AK314" s="1"/>
      <c r="AL314" s="1"/>
      <c r="AM314" s="1"/>
      <c r="AN314" s="1"/>
      <c r="AO314" s="8"/>
      <c r="AP314" s="8"/>
      <c r="AQ314" s="8"/>
      <c r="AR314" s="8"/>
      <c r="AS314" s="8"/>
      <c r="AT314" s="8"/>
      <c r="AU314" s="8"/>
      <c r="AV314" s="8"/>
      <c r="AW314" s="8"/>
      <c r="AX314" s="8"/>
      <c r="AY314" s="8"/>
      <c r="AZ314" s="8"/>
      <c r="BA314" s="8"/>
      <c r="BB314" s="8"/>
      <c r="BC314" s="8"/>
      <c r="BD314" s="8"/>
      <c r="BE314" s="8"/>
      <c r="BF314" s="8"/>
      <c r="BG314" s="8"/>
      <c r="BH314" s="8"/>
      <c r="BI314" s="8"/>
    </row>
    <row r="315" spans="1:61" s="7" customFormat="1" x14ac:dyDescent="0.2">
      <c r="A315" s="118"/>
      <c r="B315" s="118"/>
      <c r="C315" s="118"/>
      <c r="D315" s="118"/>
      <c r="E315" s="118"/>
      <c r="F315" s="163"/>
      <c r="G315" s="163"/>
      <c r="H315" s="163"/>
      <c r="I315" s="163" t="str">
        <f>O98</f>
        <v>CLOTHING</v>
      </c>
      <c r="J315" s="200" t="e">
        <f t="shared" ref="J315:J320" si="72">IF(K327&gt;0,1,0)</f>
        <v>#DIV/0!</v>
      </c>
      <c r="K315" s="163" t="e">
        <f t="shared" ref="K315:K320" si="73">IF(K327&gt;0,0,1)</f>
        <v>#DIV/0!</v>
      </c>
      <c r="L315" s="163" t="e">
        <f>IF(J315=0, IF(N315=$K$323," and ", IF(N315=1, "", ", ")), "")</f>
        <v>#DIV/0!</v>
      </c>
      <c r="M315" s="163" t="e">
        <f>IF(J315=0,"Clothing", "")</f>
        <v>#DIV/0!</v>
      </c>
      <c r="N315" s="163" t="e">
        <f>SUM(K314:K315)</f>
        <v>#DIV/0!</v>
      </c>
      <c r="O315" s="13"/>
      <c r="P315" s="13"/>
      <c r="Q315" s="13"/>
      <c r="R315" s="13"/>
      <c r="S315" s="13"/>
      <c r="T315" s="1"/>
      <c r="U315" s="1"/>
      <c r="V315" s="1"/>
      <c r="W315" s="1"/>
      <c r="X315" s="1"/>
      <c r="Y315" s="1"/>
      <c r="Z315" s="1"/>
      <c r="AA315" s="1"/>
      <c r="AB315" s="1"/>
      <c r="AC315" s="1"/>
      <c r="AD315" s="1"/>
      <c r="AE315" s="1"/>
      <c r="AF315" s="1"/>
      <c r="AG315" s="1"/>
      <c r="AH315" s="1"/>
      <c r="AI315" s="1"/>
      <c r="AJ315" s="1"/>
      <c r="AK315" s="1"/>
      <c r="AL315" s="1"/>
      <c r="AM315" s="1"/>
      <c r="AN315" s="1"/>
      <c r="AO315" s="8"/>
      <c r="AP315" s="8"/>
      <c r="AQ315" s="8"/>
      <c r="AR315" s="8"/>
      <c r="AS315" s="8"/>
      <c r="AT315" s="8"/>
      <c r="AU315" s="8"/>
      <c r="AV315" s="8"/>
      <c r="AW315" s="8"/>
      <c r="AX315" s="8"/>
      <c r="AY315" s="8"/>
      <c r="AZ315" s="8"/>
      <c r="BA315" s="8"/>
      <c r="BB315" s="8"/>
      <c r="BC315" s="8"/>
      <c r="BD315" s="8"/>
      <c r="BE315" s="8"/>
      <c r="BF315" s="8"/>
      <c r="BG315" s="8"/>
      <c r="BH315" s="8"/>
      <c r="BI315" s="8"/>
    </row>
    <row r="316" spans="1:61" s="7" customFormat="1" x14ac:dyDescent="0.2">
      <c r="A316" s="118"/>
      <c r="B316" s="118"/>
      <c r="C316" s="118"/>
      <c r="D316" s="118"/>
      <c r="E316" s="118"/>
      <c r="F316" s="163"/>
      <c r="G316" s="163"/>
      <c r="H316" s="163"/>
      <c r="I316" s="163" t="str">
        <f>O59</f>
        <v>OTHER UTILITIES</v>
      </c>
      <c r="J316" s="200" t="e">
        <f t="shared" si="72"/>
        <v>#DIV/0!</v>
      </c>
      <c r="K316" s="163" t="e">
        <f t="shared" si="73"/>
        <v>#DIV/0!</v>
      </c>
      <c r="L316" s="163" t="e">
        <f t="shared" ref="L316:L322" si="74">IF(J316=0, IF(N316=$K$323," and ", IF(N316=1, "", ", ")), "")</f>
        <v>#DIV/0!</v>
      </c>
      <c r="M316" s="163" t="e">
        <f>IF(J316=0,"Other Utilities", "")</f>
        <v>#DIV/0!</v>
      </c>
      <c r="N316" s="163" t="e">
        <f>SUM(K314:K316)</f>
        <v>#DIV/0!</v>
      </c>
      <c r="O316" s="13"/>
      <c r="P316" s="13"/>
      <c r="Q316" s="13"/>
      <c r="R316" s="13"/>
      <c r="S316" s="13"/>
      <c r="T316" s="1"/>
      <c r="U316" s="1"/>
      <c r="V316" s="1"/>
      <c r="W316" s="1"/>
      <c r="X316" s="1"/>
      <c r="Y316" s="1"/>
      <c r="Z316" s="1"/>
      <c r="AA316" s="1"/>
      <c r="AB316" s="1"/>
      <c r="AC316" s="1"/>
      <c r="AD316" s="1"/>
      <c r="AE316" s="1"/>
      <c r="AF316" s="1"/>
      <c r="AG316" s="1"/>
      <c r="AH316" s="1"/>
      <c r="AI316" s="1"/>
      <c r="AJ316" s="1"/>
      <c r="AK316" s="1"/>
      <c r="AL316" s="1"/>
      <c r="AM316" s="1"/>
      <c r="AN316" s="1"/>
      <c r="AO316" s="8"/>
      <c r="AP316" s="8"/>
      <c r="AQ316" s="8"/>
      <c r="AR316" s="8"/>
      <c r="AS316" s="8"/>
      <c r="AT316" s="8"/>
      <c r="AU316" s="8"/>
      <c r="AV316" s="8"/>
      <c r="AW316" s="8"/>
      <c r="AX316" s="8"/>
      <c r="AY316" s="8"/>
      <c r="AZ316" s="8"/>
      <c r="BA316" s="8"/>
      <c r="BB316" s="8"/>
      <c r="BC316" s="8"/>
      <c r="BD316" s="8"/>
      <c r="BE316" s="8"/>
      <c r="BF316" s="8"/>
      <c r="BG316" s="8"/>
      <c r="BH316" s="8"/>
      <c r="BI316" s="8"/>
    </row>
    <row r="317" spans="1:61" s="7" customFormat="1" x14ac:dyDescent="0.2">
      <c r="A317" s="118"/>
      <c r="B317" s="118"/>
      <c r="C317" s="118"/>
      <c r="D317" s="118"/>
      <c r="E317" s="118"/>
      <c r="F317" s="163"/>
      <c r="G317" s="163"/>
      <c r="H317" s="163"/>
      <c r="I317" s="163" t="str">
        <f>O72</f>
        <v>FOOD &amp; GROCERY STORE EXPENSES</v>
      </c>
      <c r="J317" s="200" t="e">
        <f t="shared" si="72"/>
        <v>#DIV/0!</v>
      </c>
      <c r="K317" s="163" t="e">
        <f t="shared" si="73"/>
        <v>#DIV/0!</v>
      </c>
      <c r="L317" s="163" t="e">
        <f t="shared" si="74"/>
        <v>#DIV/0!</v>
      </c>
      <c r="M317" s="163" t="e">
        <f>IF(J317=0,"Food &amp; Grocery Store Expenses", "")</f>
        <v>#DIV/0!</v>
      </c>
      <c r="N317" s="163" t="e">
        <f>SUM(K314:K317)</f>
        <v>#DIV/0!</v>
      </c>
      <c r="O317" s="13"/>
      <c r="P317" s="13"/>
      <c r="Q317" s="13"/>
      <c r="R317" s="13"/>
      <c r="S317" s="13"/>
      <c r="T317" s="1"/>
      <c r="U317" s="1"/>
      <c r="V317" s="1"/>
      <c r="W317" s="1"/>
      <c r="X317" s="1"/>
      <c r="Y317" s="1"/>
      <c r="Z317" s="1"/>
      <c r="AA317" s="1"/>
      <c r="AB317" s="1"/>
      <c r="AC317" s="1"/>
      <c r="AD317" s="1"/>
      <c r="AE317" s="1"/>
      <c r="AF317" s="1"/>
      <c r="AG317" s="1"/>
      <c r="AH317" s="1"/>
      <c r="AI317" s="1"/>
      <c r="AJ317" s="1"/>
      <c r="AK317" s="1"/>
      <c r="AL317" s="1"/>
      <c r="AM317" s="1"/>
      <c r="AN317" s="1"/>
      <c r="AO317" s="8"/>
      <c r="AP317" s="8"/>
      <c r="AQ317" s="8"/>
      <c r="AR317" s="8"/>
      <c r="AS317" s="8"/>
      <c r="AT317" s="8"/>
      <c r="AU317" s="8"/>
      <c r="AV317" s="8"/>
      <c r="AW317" s="8"/>
      <c r="AX317" s="8"/>
      <c r="AY317" s="8"/>
      <c r="AZ317" s="8"/>
      <c r="BA317" s="8"/>
      <c r="BB317" s="8"/>
      <c r="BC317" s="8"/>
      <c r="BD317" s="8"/>
      <c r="BE317" s="8"/>
      <c r="BF317" s="8"/>
      <c r="BG317" s="8"/>
      <c r="BH317" s="8"/>
      <c r="BI317" s="8"/>
    </row>
    <row r="318" spans="1:61" s="7" customFormat="1" x14ac:dyDescent="0.2">
      <c r="A318" s="118"/>
      <c r="B318" s="118"/>
      <c r="C318" s="118"/>
      <c r="D318" s="118"/>
      <c r="E318" s="118"/>
      <c r="F318" s="163"/>
      <c r="G318" s="163"/>
      <c r="H318" s="163"/>
      <c r="I318" s="163" t="str">
        <f>O40</f>
        <v>HOUSING EXPENSES</v>
      </c>
      <c r="J318" s="200" t="e">
        <f>IF(K330&gt;0,1,0)</f>
        <v>#DIV/0!</v>
      </c>
      <c r="K318" s="163" t="e">
        <f t="shared" si="73"/>
        <v>#DIV/0!</v>
      </c>
      <c r="L318" s="163" t="e">
        <f t="shared" si="74"/>
        <v>#DIV/0!</v>
      </c>
      <c r="M318" s="163" t="e">
        <f>IF(J318=0,"Housing Expenses", "")</f>
        <v>#DIV/0!</v>
      </c>
      <c r="N318" s="163" t="e">
        <f>SUM(K314:K318)</f>
        <v>#DIV/0!</v>
      </c>
      <c r="O318" s="13"/>
      <c r="P318" s="13"/>
      <c r="Q318" s="13"/>
      <c r="R318" s="13"/>
      <c r="S318" s="13"/>
      <c r="T318" s="1"/>
      <c r="U318" s="1"/>
      <c r="V318" s="1"/>
      <c r="W318" s="1"/>
      <c r="X318" s="1"/>
      <c r="Y318" s="1"/>
      <c r="Z318" s="1"/>
      <c r="AA318" s="1"/>
      <c r="AB318" s="1"/>
      <c r="AC318" s="1"/>
      <c r="AD318" s="1"/>
      <c r="AE318" s="1"/>
      <c r="AF318" s="1"/>
      <c r="AG318" s="1"/>
      <c r="AH318" s="1"/>
      <c r="AI318" s="1"/>
      <c r="AJ318" s="1"/>
      <c r="AK318" s="1"/>
      <c r="AL318" s="1"/>
      <c r="AM318" s="1"/>
      <c r="AN318" s="1"/>
      <c r="AO318" s="8"/>
      <c r="AP318" s="8"/>
      <c r="AQ318" s="8"/>
      <c r="AR318" s="8"/>
      <c r="AS318" s="8"/>
      <c r="AT318" s="8"/>
      <c r="AU318" s="8"/>
      <c r="AV318" s="8"/>
      <c r="AW318" s="8"/>
      <c r="AX318" s="8"/>
      <c r="AY318" s="8"/>
      <c r="AZ318" s="8"/>
      <c r="BA318" s="8"/>
      <c r="BB318" s="8"/>
      <c r="BC318" s="8"/>
      <c r="BD318" s="8"/>
      <c r="BE318" s="8"/>
      <c r="BF318" s="8"/>
      <c r="BG318" s="8"/>
      <c r="BH318" s="8"/>
      <c r="BI318" s="8"/>
    </row>
    <row r="319" spans="1:61" s="7" customFormat="1" x14ac:dyDescent="0.2">
      <c r="A319" s="118"/>
      <c r="B319" s="118"/>
      <c r="C319" s="118"/>
      <c r="D319" s="118"/>
      <c r="E319" s="118"/>
      <c r="F319" s="163"/>
      <c r="G319" s="163"/>
      <c r="H319" s="163"/>
      <c r="I319" s="163" t="str">
        <f>O83</f>
        <v>TRANSPORTATION</v>
      </c>
      <c r="J319" s="200" t="e">
        <f t="shared" si="72"/>
        <v>#DIV/0!</v>
      </c>
      <c r="K319" s="163" t="e">
        <f t="shared" si="73"/>
        <v>#DIV/0!</v>
      </c>
      <c r="L319" s="163" t="e">
        <f t="shared" si="74"/>
        <v>#DIV/0!</v>
      </c>
      <c r="M319" s="163" t="e">
        <f>IF(J319=0,"Transportation", "")</f>
        <v>#DIV/0!</v>
      </c>
      <c r="N319" s="163" t="e">
        <f>SUM(K314:K319)</f>
        <v>#DIV/0!</v>
      </c>
      <c r="O319" s="13"/>
      <c r="P319" s="13"/>
      <c r="Q319" s="13"/>
      <c r="R319" s="13"/>
      <c r="S319" s="13"/>
      <c r="T319" s="1"/>
      <c r="U319" s="1"/>
      <c r="V319" s="1"/>
      <c r="W319" s="1"/>
      <c r="X319" s="1"/>
      <c r="Y319" s="1"/>
      <c r="Z319" s="1"/>
      <c r="AA319" s="1"/>
      <c r="AB319" s="1"/>
      <c r="AC319" s="1"/>
      <c r="AD319" s="1"/>
      <c r="AE319" s="1"/>
      <c r="AF319" s="1"/>
      <c r="AG319" s="1"/>
      <c r="AH319" s="1"/>
      <c r="AI319" s="1"/>
      <c r="AJ319" s="1"/>
      <c r="AK319" s="1"/>
      <c r="AL319" s="1"/>
      <c r="AM319" s="1"/>
      <c r="AN319" s="1"/>
      <c r="AO319" s="8"/>
      <c r="AP319" s="8"/>
      <c r="AQ319" s="8"/>
      <c r="AR319" s="8"/>
      <c r="AS319" s="8"/>
      <c r="AT319" s="8"/>
      <c r="AU319" s="8"/>
      <c r="AV319" s="8"/>
      <c r="AW319" s="8"/>
      <c r="AX319" s="8"/>
      <c r="AY319" s="8"/>
      <c r="AZ319" s="8"/>
      <c r="BA319" s="8"/>
      <c r="BB319" s="8"/>
      <c r="BC319" s="8"/>
      <c r="BD319" s="8"/>
      <c r="BE319" s="8"/>
      <c r="BF319" s="8"/>
      <c r="BG319" s="8"/>
      <c r="BH319" s="8"/>
      <c r="BI319" s="8"/>
    </row>
    <row r="320" spans="1:61" s="7" customFormat="1" x14ac:dyDescent="0.2">
      <c r="A320" s="118"/>
      <c r="B320" s="118"/>
      <c r="C320" s="118"/>
      <c r="D320" s="118"/>
      <c r="E320" s="118"/>
      <c r="F320" s="163"/>
      <c r="G320" s="163"/>
      <c r="H320" s="163"/>
      <c r="I320" s="163" t="str">
        <f>O110</f>
        <v>MEDICAL</v>
      </c>
      <c r="J320" s="200" t="e">
        <f t="shared" si="72"/>
        <v>#DIV/0!</v>
      </c>
      <c r="K320" s="163" t="e">
        <f t="shared" si="73"/>
        <v>#DIV/0!</v>
      </c>
      <c r="L320" s="163" t="e">
        <f t="shared" si="74"/>
        <v>#DIV/0!</v>
      </c>
      <c r="M320" s="163" t="e">
        <f>IF(J320=0,"Medical", "")</f>
        <v>#DIV/0!</v>
      </c>
      <c r="N320" s="163" t="e">
        <f>SUM(K314:K320)</f>
        <v>#DIV/0!</v>
      </c>
      <c r="O320" s="13"/>
      <c r="P320" s="13"/>
      <c r="Q320" s="13"/>
      <c r="R320" s="13"/>
      <c r="S320" s="13"/>
      <c r="T320" s="1"/>
      <c r="U320" s="1"/>
      <c r="V320" s="1"/>
      <c r="W320" s="1"/>
      <c r="X320" s="1"/>
      <c r="Y320" s="1"/>
      <c r="Z320" s="1"/>
      <c r="AA320" s="1"/>
      <c r="AB320" s="1"/>
      <c r="AC320" s="1"/>
      <c r="AD320" s="1"/>
      <c r="AE320" s="1"/>
      <c r="AF320" s="1"/>
      <c r="AG320" s="1"/>
      <c r="AH320" s="1"/>
      <c r="AI320" s="1"/>
      <c r="AJ320" s="1"/>
      <c r="AK320" s="1"/>
      <c r="AL320" s="1"/>
      <c r="AM320" s="1"/>
      <c r="AN320" s="1"/>
      <c r="AO320" s="8"/>
      <c r="AP320" s="8"/>
      <c r="AQ320" s="8"/>
      <c r="AR320" s="8"/>
      <c r="AS320" s="8"/>
      <c r="AT320" s="8"/>
      <c r="AU320" s="8"/>
      <c r="AV320" s="8"/>
      <c r="AW320" s="8"/>
      <c r="AX320" s="8"/>
      <c r="AY320" s="8"/>
      <c r="AZ320" s="8"/>
      <c r="BA320" s="8"/>
      <c r="BB320" s="8"/>
      <c r="BC320" s="8"/>
      <c r="BD320" s="8"/>
      <c r="BE320" s="8"/>
      <c r="BF320" s="8"/>
      <c r="BG320" s="8"/>
      <c r="BH320" s="8"/>
      <c r="BI320" s="8"/>
    </row>
    <row r="321" spans="1:61" s="7" customFormat="1" x14ac:dyDescent="0.2">
      <c r="A321" s="118"/>
      <c r="B321" s="118"/>
      <c r="C321" s="118"/>
      <c r="D321" s="118"/>
      <c r="E321" s="118"/>
      <c r="F321" s="163"/>
      <c r="G321" s="163"/>
      <c r="H321" s="163"/>
      <c r="I321" s="163" t="str">
        <f>O186</f>
        <v>DEBT PAYMENTS</v>
      </c>
      <c r="J321" s="200" t="e">
        <f>IF(K333&gt;0,1,0)</f>
        <v>#DIV/0!</v>
      </c>
      <c r="K321" s="163" t="e">
        <f>IF(K333&gt;0,0,1)</f>
        <v>#DIV/0!</v>
      </c>
      <c r="L321" s="163" t="e">
        <f t="shared" si="74"/>
        <v>#DIV/0!</v>
      </c>
      <c r="M321" s="163" t="e">
        <f>IF(J321=0,"Debt Payments", "")</f>
        <v>#DIV/0!</v>
      </c>
      <c r="N321" s="163" t="e">
        <f>SUM(K314:K321)</f>
        <v>#DIV/0!</v>
      </c>
      <c r="O321" s="13"/>
      <c r="P321" s="13"/>
      <c r="Q321" s="13"/>
      <c r="R321" s="13"/>
      <c r="S321" s="13"/>
      <c r="T321" s="1"/>
      <c r="U321" s="1"/>
      <c r="V321" s="1"/>
      <c r="W321" s="1"/>
      <c r="X321" s="1"/>
      <c r="Y321" s="1"/>
      <c r="Z321" s="1"/>
      <c r="AA321" s="1"/>
      <c r="AB321" s="1"/>
      <c r="AC321" s="1"/>
      <c r="AD321" s="1"/>
      <c r="AE321" s="1"/>
      <c r="AF321" s="1"/>
      <c r="AG321" s="1"/>
      <c r="AH321" s="1"/>
      <c r="AI321" s="1"/>
      <c r="AJ321" s="1"/>
      <c r="AK321" s="1"/>
      <c r="AL321" s="1"/>
      <c r="AM321" s="1"/>
      <c r="AN321" s="1"/>
      <c r="AO321" s="8"/>
      <c r="AP321" s="8"/>
      <c r="AQ321" s="8"/>
      <c r="AR321" s="8"/>
      <c r="AS321" s="8"/>
      <c r="AT321" s="8"/>
      <c r="AU321" s="8"/>
      <c r="AV321" s="8"/>
      <c r="AW321" s="8"/>
      <c r="AX321" s="8"/>
      <c r="AY321" s="8"/>
      <c r="AZ321" s="8"/>
      <c r="BA321" s="8"/>
      <c r="BB321" s="8"/>
      <c r="BC321" s="8"/>
      <c r="BD321" s="8"/>
      <c r="BE321" s="8"/>
      <c r="BF321" s="8"/>
      <c r="BG321" s="8"/>
      <c r="BH321" s="8"/>
      <c r="BI321" s="8"/>
    </row>
    <row r="322" spans="1:61" s="7" customFormat="1" x14ac:dyDescent="0.2">
      <c r="A322" s="118"/>
      <c r="B322" s="118"/>
      <c r="C322" s="118"/>
      <c r="D322" s="118"/>
      <c r="E322" s="118"/>
      <c r="F322" s="163"/>
      <c r="G322" s="163"/>
      <c r="H322" s="163"/>
      <c r="I322" s="209" t="str">
        <f>O174</f>
        <v>SAVINGS (Money for Spending Later)</v>
      </c>
      <c r="J322" s="210" t="e">
        <f>IF(K334&gt;0,1,0)</f>
        <v>#DIV/0!</v>
      </c>
      <c r="K322" s="209" t="e">
        <f>IF(K334&gt;0,0,1)</f>
        <v>#DIV/0!</v>
      </c>
      <c r="L322" s="163" t="e">
        <f t="shared" si="74"/>
        <v>#DIV/0!</v>
      </c>
      <c r="M322" s="163" t="e">
        <f>IF(J322=0,"Savings", "")</f>
        <v>#DIV/0!</v>
      </c>
      <c r="N322" s="163" t="e">
        <f>SUM(K314:K322)</f>
        <v>#DIV/0!</v>
      </c>
      <c r="O322" s="13"/>
      <c r="P322" s="13"/>
      <c r="Q322" s="13"/>
      <c r="R322" s="13"/>
      <c r="S322" s="13"/>
      <c r="T322" s="1"/>
      <c r="U322" s="1"/>
      <c r="V322" s="1"/>
      <c r="W322" s="1"/>
      <c r="X322" s="1"/>
      <c r="Y322" s="1"/>
      <c r="Z322" s="1"/>
      <c r="AA322" s="1"/>
      <c r="AB322" s="1"/>
      <c r="AC322" s="1"/>
      <c r="AD322" s="1"/>
      <c r="AE322" s="1"/>
      <c r="AF322" s="1"/>
      <c r="AG322" s="1"/>
      <c r="AH322" s="1"/>
      <c r="AI322" s="1"/>
      <c r="AJ322" s="1"/>
      <c r="AK322" s="1"/>
      <c r="AL322" s="1"/>
      <c r="AM322" s="1"/>
      <c r="AN322" s="1"/>
      <c r="AO322" s="8"/>
      <c r="AP322" s="8"/>
      <c r="AQ322" s="8"/>
      <c r="AR322" s="8"/>
      <c r="AS322" s="8"/>
      <c r="AT322" s="8"/>
      <c r="AU322" s="8"/>
      <c r="AV322" s="8"/>
      <c r="AW322" s="8"/>
      <c r="AX322" s="8"/>
      <c r="AY322" s="8"/>
      <c r="AZ322" s="8"/>
      <c r="BA322" s="8"/>
      <c r="BB322" s="8"/>
      <c r="BC322" s="8"/>
      <c r="BD322" s="8"/>
      <c r="BE322" s="8"/>
      <c r="BF322" s="8"/>
      <c r="BG322" s="8"/>
      <c r="BH322" s="8"/>
      <c r="BI322" s="8"/>
    </row>
    <row r="323" spans="1:61" s="7" customFormat="1" x14ac:dyDescent="0.2">
      <c r="A323" s="118"/>
      <c r="B323" s="118"/>
      <c r="C323" s="118"/>
      <c r="D323" s="118"/>
      <c r="E323" s="118"/>
      <c r="F323" s="163"/>
      <c r="G323" s="163"/>
      <c r="H323" s="163"/>
      <c r="I323" s="163"/>
      <c r="J323" s="163" t="e">
        <f>SUM(J314:J322)</f>
        <v>#DIV/0!</v>
      </c>
      <c r="K323" s="163" t="e">
        <f>SUM(K314:K322)</f>
        <v>#DIV/0!</v>
      </c>
      <c r="L323" s="163"/>
      <c r="M323" s="163"/>
      <c r="N323" s="163"/>
      <c r="O323" s="1"/>
      <c r="P323" s="124"/>
      <c r="Q323" s="122"/>
      <c r="R323" s="122"/>
      <c r="S323" s="122"/>
      <c r="T323" s="1"/>
      <c r="U323" s="1"/>
      <c r="V323" s="1"/>
      <c r="W323" s="1"/>
      <c r="X323" s="1"/>
      <c r="Y323" s="1"/>
      <c r="Z323" s="1"/>
      <c r="AA323" s="1"/>
      <c r="AB323" s="1"/>
      <c r="AC323" s="1"/>
      <c r="AD323" s="1"/>
      <c r="AE323" s="1"/>
      <c r="AF323" s="1"/>
      <c r="AG323" s="1"/>
      <c r="AH323" s="1"/>
      <c r="AI323" s="1"/>
      <c r="AJ323" s="1"/>
      <c r="AK323" s="1"/>
      <c r="AL323" s="1"/>
      <c r="AM323" s="1"/>
      <c r="AN323" s="1"/>
      <c r="AO323" s="8"/>
      <c r="AP323" s="8"/>
      <c r="AQ323" s="8"/>
      <c r="AR323" s="8"/>
      <c r="AS323" s="8"/>
      <c r="AT323" s="8"/>
      <c r="AU323" s="8"/>
      <c r="AV323" s="8"/>
      <c r="AW323" s="8"/>
      <c r="AX323" s="8"/>
      <c r="AY323" s="8"/>
      <c r="AZ323" s="8"/>
      <c r="BA323" s="8"/>
      <c r="BB323" s="8"/>
      <c r="BC323" s="8"/>
      <c r="BD323" s="8"/>
      <c r="BE323" s="8"/>
      <c r="BF323" s="8"/>
      <c r="BG323" s="8"/>
      <c r="BH323" s="8"/>
      <c r="BI323" s="8"/>
    </row>
    <row r="324" spans="1:61" s="7" customFormat="1" x14ac:dyDescent="0.2">
      <c r="A324" s="118"/>
      <c r="B324" s="118"/>
      <c r="C324" s="118"/>
      <c r="D324" s="118"/>
      <c r="E324" s="118"/>
      <c r="F324" s="163"/>
      <c r="G324" s="163"/>
      <c r="H324" s="163"/>
      <c r="I324" s="163" t="s">
        <v>155</v>
      </c>
      <c r="J324" s="163"/>
      <c r="K324" s="163"/>
      <c r="L324" s="163"/>
      <c r="M324" s="163"/>
      <c r="N324" s="163"/>
      <c r="O324" s="1"/>
      <c r="P324" s="124"/>
      <c r="Q324" s="122"/>
      <c r="R324" s="122"/>
      <c r="S324" s="122"/>
      <c r="T324" s="1"/>
      <c r="U324" s="1"/>
      <c r="V324" s="1"/>
      <c r="W324" s="1"/>
      <c r="X324" s="1"/>
      <c r="Y324" s="1"/>
      <c r="Z324" s="1"/>
      <c r="AA324" s="1"/>
      <c r="AB324" s="1"/>
      <c r="AC324" s="1"/>
      <c r="AD324" s="1"/>
      <c r="AE324" s="1"/>
      <c r="AF324" s="1"/>
      <c r="AG324" s="1"/>
      <c r="AH324" s="1"/>
      <c r="AI324" s="1"/>
      <c r="AJ324" s="1"/>
      <c r="AK324" s="1"/>
      <c r="AL324" s="1"/>
      <c r="AM324" s="1"/>
      <c r="AN324" s="1"/>
      <c r="AO324" s="8"/>
      <c r="AP324" s="8"/>
      <c r="AQ324" s="8"/>
      <c r="AR324" s="8"/>
      <c r="AS324" s="8"/>
      <c r="AT324" s="8"/>
      <c r="AU324" s="8"/>
      <c r="AV324" s="8"/>
      <c r="AW324" s="8"/>
      <c r="AX324" s="8"/>
      <c r="AY324" s="8"/>
      <c r="AZ324" s="8"/>
      <c r="BA324" s="8"/>
      <c r="BB324" s="8"/>
      <c r="BC324" s="8"/>
      <c r="BD324" s="8"/>
      <c r="BE324" s="8"/>
      <c r="BF324" s="8"/>
      <c r="BG324" s="8"/>
      <c r="BH324" s="8"/>
      <c r="BI324" s="8"/>
    </row>
    <row r="325" spans="1:61" s="7" customFormat="1" x14ac:dyDescent="0.2">
      <c r="A325" s="118"/>
      <c r="B325" s="118"/>
      <c r="C325" s="118"/>
      <c r="D325" s="118"/>
      <c r="E325" s="118"/>
      <c r="F325" s="163"/>
      <c r="G325" s="163"/>
      <c r="H325" s="163"/>
      <c r="I325" s="163"/>
      <c r="J325" s="196" t="s">
        <v>156</v>
      </c>
      <c r="K325" s="196" t="s">
        <v>31</v>
      </c>
      <c r="L325" s="196" t="s">
        <v>157</v>
      </c>
      <c r="M325" s="163" t="s">
        <v>158</v>
      </c>
      <c r="N325" s="163"/>
      <c r="O325" s="1"/>
      <c r="P325" s="124"/>
      <c r="Q325" s="122"/>
      <c r="R325" s="122"/>
      <c r="S325" s="122"/>
      <c r="T325" s="1"/>
      <c r="U325" s="1"/>
      <c r="V325" s="1"/>
      <c r="W325" s="1"/>
      <c r="X325" s="1"/>
      <c r="Y325" s="1"/>
      <c r="Z325" s="1"/>
      <c r="AA325" s="1"/>
      <c r="AB325" s="1"/>
      <c r="AC325" s="1"/>
      <c r="AD325" s="1"/>
      <c r="AE325" s="1"/>
      <c r="AF325" s="1"/>
      <c r="AG325" s="1"/>
      <c r="AH325" s="1"/>
      <c r="AI325" s="1"/>
      <c r="AJ325" s="1"/>
      <c r="AK325" s="1"/>
      <c r="AL325" s="1"/>
      <c r="AM325" s="1"/>
      <c r="AN325" s="1"/>
      <c r="AO325" s="8"/>
      <c r="AP325" s="8"/>
      <c r="AQ325" s="8"/>
      <c r="AR325" s="8"/>
      <c r="AS325" s="8"/>
      <c r="AT325" s="8"/>
      <c r="AU325" s="8"/>
      <c r="AV325" s="8"/>
      <c r="AW325" s="8"/>
      <c r="AX325" s="8"/>
      <c r="AY325" s="8"/>
      <c r="AZ325" s="8"/>
      <c r="BA325" s="8"/>
      <c r="BB325" s="8"/>
      <c r="BC325" s="8"/>
      <c r="BD325" s="8"/>
      <c r="BE325" s="8"/>
      <c r="BF325" s="8"/>
      <c r="BG325" s="8"/>
      <c r="BH325" s="8"/>
      <c r="BI325" s="8"/>
    </row>
    <row r="326" spans="1:61" s="7" customFormat="1" x14ac:dyDescent="0.2">
      <c r="A326" s="118"/>
      <c r="B326" s="118"/>
      <c r="C326" s="118"/>
      <c r="D326" s="118"/>
      <c r="E326" s="118"/>
      <c r="F326" s="163"/>
      <c r="G326" s="163"/>
      <c r="H326" s="163"/>
      <c r="I326" s="163" t="str">
        <f>O130</f>
        <v>PERSONAL EXPENSES</v>
      </c>
      <c r="J326" s="198">
        <v>0.1</v>
      </c>
      <c r="K326" s="197" t="e">
        <f>T172/T37</f>
        <v>#DIV/0!</v>
      </c>
      <c r="L326" s="197" t="e">
        <f t="shared" ref="L326:L334" si="75">IF(K326="", "", (J326-K326)/J326)</f>
        <v>#DIV/0!</v>
      </c>
      <c r="M326" s="197" t="e">
        <f>IF(L326&lt;0,L326*-1,0)</f>
        <v>#DIV/0!</v>
      </c>
      <c r="N326" s="163"/>
      <c r="O326" s="1"/>
      <c r="P326" s="124"/>
      <c r="Q326" s="122"/>
      <c r="R326" s="122"/>
      <c r="S326" s="122"/>
      <c r="T326" s="1"/>
      <c r="U326" s="1"/>
      <c r="V326" s="1"/>
      <c r="W326" s="1"/>
      <c r="X326" s="1"/>
      <c r="Y326" s="1"/>
      <c r="Z326" s="1"/>
      <c r="AA326" s="1"/>
      <c r="AB326" s="1"/>
      <c r="AC326" s="1"/>
      <c r="AD326" s="1"/>
      <c r="AE326" s="1"/>
      <c r="AF326" s="1"/>
      <c r="AG326" s="1"/>
      <c r="AH326" s="1"/>
      <c r="AI326" s="1"/>
      <c r="AJ326" s="1"/>
      <c r="AK326" s="1"/>
      <c r="AL326" s="1"/>
      <c r="AM326" s="1"/>
      <c r="AN326" s="1"/>
      <c r="AO326" s="8"/>
      <c r="AP326" s="8"/>
      <c r="AQ326" s="8"/>
      <c r="AR326" s="8"/>
      <c r="AS326" s="8"/>
      <c r="AT326" s="8"/>
      <c r="AU326" s="8"/>
      <c r="AV326" s="8"/>
      <c r="AW326" s="8"/>
      <c r="AX326" s="8"/>
      <c r="AY326" s="8"/>
      <c r="AZ326" s="8"/>
      <c r="BA326" s="8"/>
      <c r="BB326" s="8"/>
      <c r="BC326" s="8"/>
      <c r="BD326" s="8"/>
      <c r="BE326" s="8"/>
      <c r="BF326" s="8"/>
      <c r="BG326" s="8"/>
      <c r="BH326" s="8"/>
      <c r="BI326" s="8"/>
    </row>
    <row r="327" spans="1:61" s="7" customFormat="1" x14ac:dyDescent="0.2">
      <c r="A327" s="118"/>
      <c r="B327" s="118"/>
      <c r="C327" s="118"/>
      <c r="D327" s="118"/>
      <c r="E327" s="118"/>
      <c r="F327" s="163"/>
      <c r="G327" s="163"/>
      <c r="H327" s="163"/>
      <c r="I327" s="163" t="str">
        <f>O98</f>
        <v>CLOTHING</v>
      </c>
      <c r="J327" s="198">
        <v>0.05</v>
      </c>
      <c r="K327" s="197" t="e">
        <f>T108/T37</f>
        <v>#DIV/0!</v>
      </c>
      <c r="L327" s="197" t="e">
        <f t="shared" si="75"/>
        <v>#DIV/0!</v>
      </c>
      <c r="M327" s="197" t="e">
        <f t="shared" ref="M327" si="76">IF(L327&lt;0,L327*-1,0)</f>
        <v>#DIV/0!</v>
      </c>
      <c r="N327" s="163"/>
      <c r="O327" s="1"/>
      <c r="P327" s="124"/>
      <c r="Q327" s="122"/>
      <c r="R327" s="122"/>
      <c r="S327" s="122"/>
      <c r="T327" s="1"/>
      <c r="U327" s="1"/>
      <c r="V327" s="1"/>
      <c r="W327" s="1"/>
      <c r="X327" s="1"/>
      <c r="Y327" s="1"/>
      <c r="Z327" s="1"/>
      <c r="AA327" s="1"/>
      <c r="AB327" s="1"/>
      <c r="AC327" s="1"/>
      <c r="AD327" s="1"/>
      <c r="AE327" s="1"/>
      <c r="AF327" s="1"/>
      <c r="AG327" s="1"/>
      <c r="AH327" s="1"/>
      <c r="AI327" s="1"/>
      <c r="AJ327" s="1"/>
      <c r="AK327" s="1"/>
      <c r="AL327" s="1"/>
      <c r="AM327" s="1"/>
      <c r="AN327" s="1"/>
      <c r="AO327" s="8"/>
      <c r="AP327" s="8"/>
      <c r="AQ327" s="8"/>
      <c r="AR327" s="8"/>
      <c r="AS327" s="8"/>
      <c r="AT327" s="8"/>
      <c r="AU327" s="8"/>
      <c r="AV327" s="8"/>
      <c r="AW327" s="8"/>
      <c r="AX327" s="8"/>
      <c r="AY327" s="8"/>
      <c r="AZ327" s="8"/>
      <c r="BA327" s="8"/>
      <c r="BB327" s="8"/>
      <c r="BC327" s="8"/>
      <c r="BD327" s="8"/>
      <c r="BE327" s="8"/>
      <c r="BF327" s="8"/>
      <c r="BG327" s="8"/>
      <c r="BH327" s="8"/>
      <c r="BI327" s="8"/>
    </row>
    <row r="328" spans="1:61" s="7" customFormat="1" x14ac:dyDescent="0.2">
      <c r="A328" s="118"/>
      <c r="B328" s="118"/>
      <c r="C328" s="118"/>
      <c r="D328" s="118"/>
      <c r="E328" s="118"/>
      <c r="F328" s="163"/>
      <c r="G328" s="163"/>
      <c r="H328" s="163"/>
      <c r="I328" s="163" t="str">
        <f>O59</f>
        <v>OTHER UTILITIES</v>
      </c>
      <c r="J328" s="198">
        <v>0.05</v>
      </c>
      <c r="K328" s="197" t="e">
        <f>T70/T37</f>
        <v>#DIV/0!</v>
      </c>
      <c r="L328" s="197" t="e">
        <f t="shared" si="75"/>
        <v>#DIV/0!</v>
      </c>
      <c r="M328" s="197" t="e">
        <f>IF(L328&lt;0,L328*-1,0)</f>
        <v>#DIV/0!</v>
      </c>
      <c r="N328" s="163"/>
      <c r="O328" s="1"/>
      <c r="P328" s="124"/>
      <c r="Q328" s="122"/>
      <c r="R328" s="122"/>
      <c r="S328" s="122"/>
      <c r="T328" s="1"/>
      <c r="U328" s="1"/>
      <c r="V328" s="1"/>
      <c r="W328" s="1"/>
      <c r="X328" s="1"/>
      <c r="Y328" s="1"/>
      <c r="Z328" s="1"/>
      <c r="AA328" s="1"/>
      <c r="AB328" s="1"/>
      <c r="AC328" s="1"/>
      <c r="AD328" s="1"/>
      <c r="AE328" s="1"/>
      <c r="AF328" s="1"/>
      <c r="AG328" s="1"/>
      <c r="AH328" s="1"/>
      <c r="AI328" s="1"/>
      <c r="AJ328" s="1"/>
      <c r="AK328" s="1"/>
      <c r="AL328" s="1"/>
      <c r="AM328" s="1"/>
      <c r="AN328" s="1"/>
      <c r="AO328" s="8"/>
      <c r="AP328" s="8"/>
      <c r="AQ328" s="8"/>
      <c r="AR328" s="8"/>
      <c r="AS328" s="8"/>
      <c r="AT328" s="8"/>
      <c r="AU328" s="8"/>
      <c r="AV328" s="8"/>
      <c r="AW328" s="8"/>
      <c r="AX328" s="8"/>
      <c r="AY328" s="8"/>
      <c r="AZ328" s="8"/>
      <c r="BA328" s="8"/>
      <c r="BB328" s="8"/>
      <c r="BC328" s="8"/>
      <c r="BD328" s="8"/>
      <c r="BE328" s="8"/>
      <c r="BF328" s="8"/>
      <c r="BG328" s="8"/>
      <c r="BH328" s="8"/>
      <c r="BI328" s="8"/>
    </row>
    <row r="329" spans="1:61" s="7" customFormat="1" x14ac:dyDescent="0.2">
      <c r="A329" s="118"/>
      <c r="B329" s="118"/>
      <c r="C329" s="118"/>
      <c r="D329" s="118"/>
      <c r="E329" s="118"/>
      <c r="F329" s="163"/>
      <c r="G329" s="163"/>
      <c r="H329" s="163"/>
      <c r="I329" s="163" t="str">
        <f>O72</f>
        <v>FOOD &amp; GROCERY STORE EXPENSES</v>
      </c>
      <c r="J329" s="198">
        <v>0.2</v>
      </c>
      <c r="K329" s="197" t="e">
        <f>T81/T37</f>
        <v>#DIV/0!</v>
      </c>
      <c r="L329" s="197" t="e">
        <f t="shared" si="75"/>
        <v>#DIV/0!</v>
      </c>
      <c r="M329" s="197" t="e">
        <f t="shared" ref="M329:M333" si="77">IF(L329&lt;0,L329*-1,0)</f>
        <v>#DIV/0!</v>
      </c>
      <c r="N329" s="163"/>
      <c r="O329" s="1"/>
      <c r="P329" s="124"/>
      <c r="Q329" s="122"/>
      <c r="R329" s="122"/>
      <c r="S329" s="122"/>
      <c r="T329" s="1"/>
      <c r="U329" s="1"/>
      <c r="V329" s="1"/>
      <c r="W329" s="1"/>
      <c r="X329" s="1"/>
      <c r="Y329" s="1"/>
      <c r="Z329" s="1"/>
      <c r="AA329" s="1"/>
      <c r="AB329" s="1"/>
      <c r="AC329" s="1"/>
      <c r="AD329" s="1"/>
      <c r="AE329" s="1"/>
      <c r="AF329" s="1"/>
      <c r="AG329" s="1"/>
      <c r="AH329" s="1"/>
      <c r="AI329" s="1"/>
      <c r="AJ329" s="1"/>
      <c r="AK329" s="1"/>
      <c r="AL329" s="1"/>
      <c r="AM329" s="1"/>
      <c r="AN329" s="1"/>
      <c r="AO329" s="8"/>
      <c r="AP329" s="8"/>
      <c r="AQ329" s="8"/>
      <c r="AR329" s="8"/>
      <c r="AS329" s="8"/>
      <c r="AT329" s="8"/>
      <c r="AU329" s="8"/>
      <c r="AV329" s="8"/>
      <c r="AW329" s="8"/>
      <c r="AX329" s="8"/>
      <c r="AY329" s="8"/>
      <c r="AZ329" s="8"/>
      <c r="BA329" s="8"/>
      <c r="BB329" s="8"/>
      <c r="BC329" s="8"/>
      <c r="BD329" s="8"/>
      <c r="BE329" s="8"/>
      <c r="BF329" s="8"/>
      <c r="BG329" s="8"/>
      <c r="BH329" s="8"/>
      <c r="BI329" s="8"/>
    </row>
    <row r="330" spans="1:61" s="7" customFormat="1" x14ac:dyDescent="0.2">
      <c r="A330" s="118"/>
      <c r="B330" s="118"/>
      <c r="C330" s="118"/>
      <c r="D330" s="118"/>
      <c r="E330" s="118"/>
      <c r="F330" s="163"/>
      <c r="G330" s="163"/>
      <c r="H330" s="163"/>
      <c r="I330" s="163" t="str">
        <f>O40</f>
        <v>HOUSING EXPENSES</v>
      </c>
      <c r="J330" s="198">
        <v>0.35</v>
      </c>
      <c r="K330" s="197" t="e">
        <f>T57/T37</f>
        <v>#DIV/0!</v>
      </c>
      <c r="L330" s="197" t="e">
        <f t="shared" si="75"/>
        <v>#DIV/0!</v>
      </c>
      <c r="M330" s="197" t="e">
        <f t="shared" si="77"/>
        <v>#DIV/0!</v>
      </c>
      <c r="N330" s="163"/>
      <c r="O330" s="1"/>
      <c r="P330" s="124"/>
      <c r="Q330" s="122"/>
      <c r="R330" s="122"/>
      <c r="S330" s="122"/>
      <c r="T330" s="1"/>
      <c r="U330" s="1"/>
      <c r="V330" s="1"/>
      <c r="W330" s="1"/>
      <c r="X330" s="1"/>
      <c r="Y330" s="1"/>
      <c r="Z330" s="1"/>
      <c r="AA330" s="1"/>
      <c r="AB330" s="1"/>
      <c r="AC330" s="1"/>
      <c r="AD330" s="1"/>
      <c r="AE330" s="1"/>
      <c r="AF330" s="1"/>
      <c r="AG330" s="1"/>
      <c r="AH330" s="1"/>
      <c r="AI330" s="1"/>
      <c r="AJ330" s="1"/>
      <c r="AK330" s="1"/>
      <c r="AL330" s="1"/>
      <c r="AM330" s="1"/>
      <c r="AN330" s="1"/>
      <c r="AO330" s="8"/>
      <c r="AP330" s="8"/>
      <c r="AQ330" s="8"/>
      <c r="AR330" s="8"/>
      <c r="AS330" s="8"/>
      <c r="AT330" s="8"/>
      <c r="AU330" s="8"/>
      <c r="AV330" s="8"/>
      <c r="AW330" s="8"/>
      <c r="AX330" s="8"/>
      <c r="AY330" s="8"/>
      <c r="AZ330" s="8"/>
      <c r="BA330" s="8"/>
      <c r="BB330" s="8"/>
      <c r="BC330" s="8"/>
      <c r="BD330" s="8"/>
      <c r="BE330" s="8"/>
      <c r="BF330" s="8"/>
      <c r="BG330" s="8"/>
      <c r="BH330" s="8"/>
      <c r="BI330" s="8"/>
    </row>
    <row r="331" spans="1:61" s="7" customFormat="1" x14ac:dyDescent="0.2">
      <c r="A331" s="118"/>
      <c r="B331" s="118"/>
      <c r="C331" s="118"/>
      <c r="D331" s="118"/>
      <c r="E331" s="118"/>
      <c r="F331" s="163"/>
      <c r="G331" s="163"/>
      <c r="H331" s="163"/>
      <c r="I331" s="163" t="str">
        <f>O83</f>
        <v>TRANSPORTATION</v>
      </c>
      <c r="J331" s="198">
        <v>0.2</v>
      </c>
      <c r="K331" s="197" t="e">
        <f>T96/T37</f>
        <v>#DIV/0!</v>
      </c>
      <c r="L331" s="197" t="e">
        <f t="shared" si="75"/>
        <v>#DIV/0!</v>
      </c>
      <c r="M331" s="197" t="e">
        <f t="shared" si="77"/>
        <v>#DIV/0!</v>
      </c>
      <c r="N331" s="163"/>
      <c r="O331" s="1"/>
      <c r="P331" s="124"/>
      <c r="Q331" s="122"/>
      <c r="R331" s="122"/>
      <c r="S331" s="122"/>
      <c r="T331" s="1"/>
      <c r="U331" s="1"/>
      <c r="V331" s="1"/>
      <c r="W331" s="1"/>
      <c r="X331" s="1"/>
      <c r="Y331" s="1"/>
      <c r="Z331" s="1"/>
      <c r="AA331" s="1"/>
      <c r="AB331" s="1"/>
      <c r="AC331" s="1"/>
      <c r="AD331" s="1"/>
      <c r="AE331" s="1"/>
      <c r="AF331" s="1"/>
      <c r="AG331" s="1"/>
      <c r="AH331" s="1"/>
      <c r="AI331" s="1"/>
      <c r="AJ331" s="1"/>
      <c r="AK331" s="1"/>
      <c r="AL331" s="1"/>
      <c r="AM331" s="1"/>
      <c r="AN331" s="1"/>
      <c r="AO331" s="8"/>
      <c r="AP331" s="8"/>
      <c r="AQ331" s="8"/>
      <c r="AR331" s="8"/>
      <c r="AS331" s="8"/>
      <c r="AT331" s="8"/>
      <c r="AU331" s="8"/>
      <c r="AV331" s="8"/>
      <c r="AW331" s="8"/>
      <c r="AX331" s="8"/>
      <c r="AY331" s="8"/>
      <c r="AZ331" s="8"/>
      <c r="BA331" s="8"/>
      <c r="BB331" s="8"/>
      <c r="BC331" s="8"/>
      <c r="BD331" s="8"/>
      <c r="BE331" s="8"/>
      <c r="BF331" s="8"/>
      <c r="BG331" s="8"/>
      <c r="BH331" s="8"/>
      <c r="BI331" s="8"/>
    </row>
    <row r="332" spans="1:61" s="7" customFormat="1" x14ac:dyDescent="0.2">
      <c r="A332" s="118"/>
      <c r="B332" s="118"/>
      <c r="C332" s="118"/>
      <c r="D332" s="118"/>
      <c r="E332" s="118"/>
      <c r="F332" s="163"/>
      <c r="G332" s="163"/>
      <c r="H332" s="163"/>
      <c r="I332" s="163" t="str">
        <f>O110</f>
        <v>MEDICAL</v>
      </c>
      <c r="J332" s="198">
        <v>0.03</v>
      </c>
      <c r="K332" s="197" t="e">
        <f>T128/T37</f>
        <v>#DIV/0!</v>
      </c>
      <c r="L332" s="197" t="e">
        <f t="shared" si="75"/>
        <v>#DIV/0!</v>
      </c>
      <c r="M332" s="197" t="e">
        <f t="shared" si="77"/>
        <v>#DIV/0!</v>
      </c>
      <c r="N332" s="163"/>
      <c r="O332" s="1"/>
      <c r="P332" s="124"/>
      <c r="Q332" s="122"/>
      <c r="R332" s="122"/>
      <c r="S332" s="122"/>
      <c r="T332" s="1"/>
      <c r="U332" s="1"/>
      <c r="V332" s="1"/>
      <c r="W332" s="1"/>
      <c r="X332" s="1"/>
      <c r="Y332" s="1"/>
      <c r="Z332" s="1"/>
      <c r="AA332" s="1"/>
      <c r="AB332" s="1"/>
      <c r="AC332" s="1"/>
      <c r="AD332" s="1"/>
      <c r="AE332" s="1"/>
      <c r="AF332" s="1"/>
      <c r="AG332" s="1"/>
      <c r="AH332" s="1"/>
      <c r="AI332" s="1"/>
      <c r="AJ332" s="1"/>
      <c r="AK332" s="1"/>
      <c r="AL332" s="1"/>
      <c r="AM332" s="1"/>
      <c r="AN332" s="1"/>
      <c r="AO332" s="8"/>
      <c r="AP332" s="8"/>
      <c r="AQ332" s="8"/>
      <c r="AR332" s="8"/>
      <c r="AS332" s="8"/>
      <c r="AT332" s="8"/>
      <c r="AU332" s="8"/>
      <c r="AV332" s="8"/>
      <c r="AW332" s="8"/>
      <c r="AX332" s="8"/>
      <c r="AY332" s="8"/>
      <c r="AZ332" s="8"/>
      <c r="BA332" s="8"/>
      <c r="BB332" s="8"/>
      <c r="BC332" s="8"/>
      <c r="BD332" s="8"/>
      <c r="BE332" s="8"/>
      <c r="BF332" s="8"/>
      <c r="BG332" s="8"/>
      <c r="BH332" s="8"/>
      <c r="BI332" s="8"/>
    </row>
    <row r="333" spans="1:61" s="7" customFormat="1" x14ac:dyDescent="0.2">
      <c r="A333" s="118"/>
      <c r="B333" s="118"/>
      <c r="C333" s="118"/>
      <c r="D333" s="118"/>
      <c r="E333" s="118"/>
      <c r="F333" s="163"/>
      <c r="G333" s="163"/>
      <c r="H333" s="163"/>
      <c r="I333" s="211" t="str">
        <f>O186</f>
        <v>DEBT PAYMENTS</v>
      </c>
      <c r="J333" s="212">
        <v>0.15</v>
      </c>
      <c r="K333" s="213" t="e">
        <f>T203/T37</f>
        <v>#DIV/0!</v>
      </c>
      <c r="L333" s="213" t="e">
        <f t="shared" si="75"/>
        <v>#DIV/0!</v>
      </c>
      <c r="M333" s="213" t="e">
        <f t="shared" si="77"/>
        <v>#DIV/0!</v>
      </c>
      <c r="N333" s="163"/>
      <c r="O333" s="1"/>
      <c r="P333" s="124"/>
      <c r="Q333" s="122"/>
      <c r="R333" s="122"/>
      <c r="S333" s="122"/>
      <c r="T333" s="1"/>
      <c r="U333" s="1"/>
      <c r="V333" s="1"/>
      <c r="W333" s="1"/>
      <c r="X333" s="1"/>
      <c r="Y333" s="1"/>
      <c r="Z333" s="1"/>
      <c r="AA333" s="1"/>
      <c r="AB333" s="1"/>
      <c r="AC333" s="1"/>
      <c r="AD333" s="1"/>
      <c r="AE333" s="1"/>
      <c r="AF333" s="1"/>
      <c r="AG333" s="1"/>
      <c r="AH333" s="1"/>
      <c r="AI333" s="1"/>
      <c r="AJ333" s="1"/>
      <c r="AK333" s="1"/>
      <c r="AL333" s="1"/>
      <c r="AM333" s="1"/>
      <c r="AN333" s="1"/>
      <c r="AO333" s="8"/>
      <c r="AP333" s="8"/>
      <c r="AQ333" s="8"/>
      <c r="AR333" s="8"/>
      <c r="AS333" s="8"/>
      <c r="AT333" s="8"/>
      <c r="AU333" s="8"/>
      <c r="AV333" s="8"/>
      <c r="AW333" s="8"/>
      <c r="AX333" s="8"/>
      <c r="AY333" s="8"/>
      <c r="AZ333" s="8"/>
      <c r="BA333" s="8"/>
      <c r="BB333" s="8"/>
      <c r="BC333" s="8"/>
      <c r="BD333" s="8"/>
      <c r="BE333" s="8"/>
      <c r="BF333" s="8"/>
      <c r="BG333" s="8"/>
      <c r="BH333" s="8"/>
      <c r="BI333" s="8"/>
    </row>
    <row r="334" spans="1:61" s="7" customFormat="1" x14ac:dyDescent="0.2">
      <c r="A334" s="118"/>
      <c r="B334" s="118"/>
      <c r="C334" s="118"/>
      <c r="D334" s="118"/>
      <c r="E334" s="118"/>
      <c r="F334" s="163"/>
      <c r="G334" s="163"/>
      <c r="H334" s="163"/>
      <c r="I334" s="209" t="str">
        <f>O174</f>
        <v>SAVINGS (Money for Spending Later)</v>
      </c>
      <c r="J334" s="214">
        <v>0.1</v>
      </c>
      <c r="K334" s="215" t="e">
        <f>T184/T37</f>
        <v>#DIV/0!</v>
      </c>
      <c r="L334" s="215" t="e">
        <f t="shared" si="75"/>
        <v>#DIV/0!</v>
      </c>
      <c r="M334" s="215" t="e">
        <f t="shared" ref="M334" si="78">IF(L334&lt;0,L334*-1,0)</f>
        <v>#DIV/0!</v>
      </c>
      <c r="N334" s="163"/>
      <c r="O334" s="1"/>
      <c r="P334" s="124"/>
      <c r="Q334" s="122"/>
      <c r="R334" s="122"/>
      <c r="S334" s="122"/>
      <c r="T334" s="1"/>
      <c r="U334" s="1"/>
      <c r="V334" s="1"/>
      <c r="W334" s="1"/>
      <c r="X334" s="1"/>
      <c r="Y334" s="1"/>
      <c r="Z334" s="1"/>
      <c r="AA334" s="1"/>
      <c r="AB334" s="1"/>
      <c r="AC334" s="1"/>
      <c r="AD334" s="1"/>
      <c r="AE334" s="1"/>
      <c r="AF334" s="1"/>
      <c r="AG334" s="1"/>
      <c r="AH334" s="1"/>
      <c r="AI334" s="1"/>
      <c r="AJ334" s="1"/>
      <c r="AK334" s="1"/>
      <c r="AL334" s="1"/>
      <c r="AM334" s="1"/>
      <c r="AN334" s="1"/>
      <c r="AO334" s="8"/>
      <c r="AP334" s="8"/>
      <c r="AQ334" s="8"/>
      <c r="AR334" s="8"/>
      <c r="AS334" s="8"/>
      <c r="AT334" s="8"/>
      <c r="AU334" s="8"/>
      <c r="AV334" s="8"/>
      <c r="AW334" s="8"/>
      <c r="AX334" s="8"/>
      <c r="AY334" s="8"/>
      <c r="AZ334" s="8"/>
      <c r="BA334" s="8"/>
      <c r="BB334" s="8"/>
      <c r="BC334" s="8"/>
      <c r="BD334" s="8"/>
      <c r="BE334" s="8"/>
      <c r="BF334" s="8"/>
      <c r="BG334" s="8"/>
      <c r="BH334" s="8"/>
      <c r="BI334" s="8"/>
    </row>
    <row r="335" spans="1:61" s="7" customFormat="1" x14ac:dyDescent="0.2">
      <c r="A335" s="118"/>
      <c r="B335" s="118"/>
      <c r="C335" s="118"/>
      <c r="D335" s="118"/>
      <c r="E335" s="118"/>
      <c r="F335" s="163"/>
      <c r="G335" s="163"/>
      <c r="H335" s="163"/>
      <c r="I335" s="163"/>
      <c r="J335" s="198">
        <f>SUM(J326:J333)</f>
        <v>1.1299999999999999</v>
      </c>
      <c r="K335" s="197" t="e">
        <f>SUM(K326:K333)</f>
        <v>#DIV/0!</v>
      </c>
      <c r="L335" s="197"/>
      <c r="M335" s="163"/>
      <c r="N335" s="163"/>
      <c r="O335" s="1"/>
      <c r="P335" s="124"/>
      <c r="Q335" s="122"/>
      <c r="R335" s="122"/>
      <c r="S335" s="122"/>
      <c r="T335" s="1"/>
      <c r="U335" s="1"/>
      <c r="V335" s="1"/>
      <c r="W335" s="1"/>
      <c r="X335" s="1"/>
      <c r="Y335" s="1"/>
      <c r="Z335" s="1"/>
      <c r="AA335" s="1"/>
      <c r="AB335" s="1"/>
      <c r="AC335" s="1"/>
      <c r="AD335" s="1"/>
      <c r="AE335" s="1"/>
      <c r="AF335" s="1"/>
      <c r="AG335" s="1"/>
      <c r="AH335" s="1"/>
      <c r="AI335" s="1"/>
      <c r="AJ335" s="1"/>
      <c r="AK335" s="1"/>
      <c r="AL335" s="1"/>
      <c r="AM335" s="1"/>
      <c r="AN335" s="1"/>
      <c r="AO335" s="8"/>
      <c r="AP335" s="8"/>
      <c r="AQ335" s="8"/>
      <c r="AR335" s="8"/>
      <c r="AS335" s="8"/>
      <c r="AT335" s="8"/>
      <c r="AU335" s="8"/>
      <c r="AV335" s="8"/>
      <c r="AW335" s="8"/>
      <c r="AX335" s="8"/>
      <c r="AY335" s="8"/>
      <c r="AZ335" s="8"/>
      <c r="BA335" s="8"/>
      <c r="BB335" s="8"/>
      <c r="BC335" s="8"/>
      <c r="BD335" s="8"/>
      <c r="BE335" s="8"/>
      <c r="BF335" s="8"/>
      <c r="BG335" s="8"/>
      <c r="BH335" s="8"/>
      <c r="BI335" s="8"/>
    </row>
    <row r="336" spans="1:61" s="7" customFormat="1" x14ac:dyDescent="0.2">
      <c r="A336" s="118"/>
      <c r="B336" s="118"/>
      <c r="C336" s="118"/>
      <c r="D336" s="118"/>
      <c r="E336" s="118"/>
      <c r="F336" s="163"/>
      <c r="G336" s="163"/>
      <c r="H336" s="163"/>
      <c r="I336" s="163"/>
      <c r="J336" s="163"/>
      <c r="K336" s="163"/>
      <c r="L336" s="163"/>
      <c r="M336" s="163"/>
      <c r="N336" s="163"/>
      <c r="O336" s="1"/>
      <c r="P336" s="124"/>
      <c r="Q336" s="122"/>
      <c r="R336" s="122"/>
      <c r="S336" s="122"/>
      <c r="T336" s="1"/>
      <c r="U336" s="1"/>
      <c r="V336" s="1"/>
      <c r="W336" s="1"/>
      <c r="X336" s="1"/>
      <c r="Y336" s="1"/>
      <c r="Z336" s="1"/>
      <c r="AA336" s="1"/>
      <c r="AB336" s="1"/>
      <c r="AC336" s="1"/>
      <c r="AD336" s="1"/>
      <c r="AE336" s="1"/>
      <c r="AF336" s="1"/>
      <c r="AG336" s="1"/>
      <c r="AH336" s="1"/>
      <c r="AI336" s="1"/>
      <c r="AJ336" s="1"/>
      <c r="AK336" s="1"/>
      <c r="AL336" s="1"/>
      <c r="AM336" s="1"/>
      <c r="AN336" s="1"/>
      <c r="AO336" s="8"/>
      <c r="AP336" s="8"/>
      <c r="AQ336" s="8"/>
      <c r="AR336" s="8"/>
      <c r="AS336" s="8"/>
      <c r="AT336" s="8"/>
      <c r="AU336" s="8"/>
      <c r="AV336" s="8"/>
      <c r="AW336" s="8"/>
      <c r="AX336" s="8"/>
      <c r="AY336" s="8"/>
      <c r="AZ336" s="8"/>
      <c r="BA336" s="8"/>
      <c r="BB336" s="8"/>
      <c r="BC336" s="8"/>
      <c r="BD336" s="8"/>
      <c r="BE336" s="8"/>
      <c r="BF336" s="8"/>
      <c r="BG336" s="8"/>
      <c r="BH336" s="8"/>
      <c r="BI336" s="8"/>
    </row>
    <row r="337" spans="1:40" s="7" customFormat="1" x14ac:dyDescent="0.2">
      <c r="A337" s="118"/>
      <c r="B337" s="118"/>
      <c r="C337" s="118"/>
      <c r="D337" s="118"/>
      <c r="E337" s="118"/>
      <c r="F337" s="163"/>
      <c r="G337" s="163"/>
      <c r="H337" s="163"/>
      <c r="I337" s="207" t="s">
        <v>232</v>
      </c>
      <c r="J337" s="163"/>
      <c r="K337" s="163"/>
      <c r="L337" s="163"/>
      <c r="M337" s="163"/>
      <c r="N337" s="163"/>
      <c r="O337" s="17"/>
      <c r="P337" s="17"/>
      <c r="Q337" s="17"/>
      <c r="R337" s="17"/>
      <c r="S337" s="17"/>
      <c r="T337" s="17"/>
      <c r="U337" s="17"/>
      <c r="V337" s="17"/>
      <c r="W337" s="17"/>
      <c r="AA337" s="115"/>
      <c r="AB337" s="115"/>
      <c r="AC337" s="115"/>
      <c r="AD337" s="115"/>
      <c r="AE337" s="115"/>
      <c r="AF337" s="115"/>
      <c r="AG337" s="115"/>
      <c r="AH337" s="115"/>
      <c r="AI337" s="115"/>
      <c r="AJ337" s="115"/>
      <c r="AK337" s="115"/>
      <c r="AL337" s="115"/>
      <c r="AM337" s="115"/>
      <c r="AN337" s="115"/>
    </row>
    <row r="338" spans="1:40" s="7" customFormat="1" ht="15" x14ac:dyDescent="0.25">
      <c r="A338" s="118"/>
      <c r="B338" s="118"/>
      <c r="C338" s="118"/>
      <c r="D338" s="118"/>
      <c r="E338" s="118"/>
      <c r="F338" s="163"/>
      <c r="G338" s="163"/>
      <c r="H338" s="216" t="s">
        <v>316</v>
      </c>
      <c r="I338" s="207" t="s">
        <v>261</v>
      </c>
      <c r="J338" s="216" t="s">
        <v>233</v>
      </c>
      <c r="K338" s="163"/>
      <c r="L338" s="163"/>
      <c r="M338" s="207" t="s">
        <v>10</v>
      </c>
      <c r="N338" s="207" t="s">
        <v>260</v>
      </c>
      <c r="O338" s="17"/>
      <c r="P338" s="17"/>
      <c r="Q338" s="17"/>
      <c r="R338" s="17"/>
      <c r="S338" s="17"/>
      <c r="T338" s="17"/>
      <c r="U338" s="17"/>
      <c r="V338" s="17"/>
      <c r="W338" s="17"/>
      <c r="AA338" s="115"/>
      <c r="AB338" s="115"/>
      <c r="AC338" s="115"/>
      <c r="AD338" s="115"/>
      <c r="AE338" s="115"/>
      <c r="AF338" s="115"/>
      <c r="AG338" s="115"/>
      <c r="AH338" s="115"/>
      <c r="AI338" s="115"/>
      <c r="AJ338" s="115"/>
      <c r="AK338" s="115"/>
      <c r="AL338" s="115"/>
      <c r="AM338" s="115"/>
      <c r="AN338" s="115"/>
    </row>
    <row r="339" spans="1:40" s="7" customFormat="1" ht="15" x14ac:dyDescent="0.25">
      <c r="A339" s="118"/>
      <c r="B339" s="118"/>
      <c r="C339" s="118"/>
      <c r="D339" s="118"/>
      <c r="E339" s="118"/>
      <c r="F339" s="163"/>
      <c r="G339" s="168" t="e">
        <f>IF(N339="",0,1)</f>
        <v>#DIV/0!</v>
      </c>
      <c r="H339" s="217" t="s">
        <v>234</v>
      </c>
      <c r="I339" s="168"/>
      <c r="J339" s="217" t="s">
        <v>254</v>
      </c>
      <c r="K339" s="163" t="e">
        <f>IF(J323=8,CONCATENATE(M314,M315,M316,M317,M318,M319,M320,M321,M322), "")</f>
        <v>#DIV/0!</v>
      </c>
      <c r="L339" s="163" t="s">
        <v>317</v>
      </c>
      <c r="M339" s="163"/>
      <c r="N339" s="163" t="e">
        <f>IF(OR(AND(T184=0,J323=8),AND(T203=0,J323=8)), "", IF(J323=8,CONCATENATE("- ",J339,K339,L339,"
"), ""))</f>
        <v>#DIV/0!</v>
      </c>
      <c r="O339" s="17"/>
      <c r="P339" s="17"/>
      <c r="Q339" s="17"/>
      <c r="R339" s="17"/>
      <c r="S339" s="17"/>
      <c r="T339" s="17"/>
      <c r="U339" s="17"/>
      <c r="V339" s="17"/>
      <c r="W339" s="17"/>
      <c r="AA339" s="115"/>
      <c r="AB339" s="115"/>
      <c r="AC339" s="115"/>
      <c r="AD339" s="115"/>
      <c r="AE339" s="115"/>
      <c r="AF339" s="115"/>
      <c r="AG339" s="115"/>
      <c r="AH339" s="115"/>
      <c r="AI339" s="115"/>
      <c r="AJ339" s="115"/>
      <c r="AK339" s="115"/>
      <c r="AL339" s="115"/>
      <c r="AM339" s="115"/>
      <c r="AN339" s="115"/>
    </row>
    <row r="340" spans="1:40" s="7" customFormat="1" ht="15" x14ac:dyDescent="0.25">
      <c r="A340" s="118"/>
      <c r="B340" s="118"/>
      <c r="C340" s="118"/>
      <c r="D340" s="118"/>
      <c r="E340" s="118"/>
      <c r="F340" s="163"/>
      <c r="G340" s="168" t="e">
        <f>IF(N340="",0,1)</f>
        <v>#DIV/0!</v>
      </c>
      <c r="H340" s="217" t="s">
        <v>318</v>
      </c>
      <c r="I340" s="168"/>
      <c r="J340" s="217" t="s">
        <v>254</v>
      </c>
      <c r="K340" s="163" t="e">
        <f>CONCATENATE(L314,M314,L315,M315,L316,M316,L317,M317,L318,M318,L319,M319,L320,M320,L321,M321,L322,M322)</f>
        <v>#DIV/0!</v>
      </c>
      <c r="L340" s="163" t="s">
        <v>319</v>
      </c>
      <c r="M340" s="163"/>
      <c r="N340" s="163" t="e">
        <f>IF(AND(K323=2,M321="Debt Payments",M322="Savings"), "", IF(AND(N339="",N341="",N342="",K323&gt;0,K323&lt;8),CONCATENATE("- ",J340,K340,L340,"
"), ""))</f>
        <v>#DIV/0!</v>
      </c>
      <c r="O340" s="17"/>
      <c r="P340" s="17"/>
      <c r="Q340" s="17"/>
      <c r="R340" s="17"/>
      <c r="S340" s="17"/>
      <c r="T340" s="17"/>
      <c r="U340" s="17"/>
      <c r="V340" s="17"/>
      <c r="W340" s="17"/>
      <c r="AA340" s="115"/>
      <c r="AB340" s="115"/>
      <c r="AC340" s="115"/>
      <c r="AD340" s="115"/>
      <c r="AE340" s="115"/>
      <c r="AF340" s="115"/>
      <c r="AG340" s="115"/>
      <c r="AH340" s="115"/>
      <c r="AI340" s="115"/>
      <c r="AJ340" s="115"/>
      <c r="AK340" s="115"/>
      <c r="AL340" s="115"/>
      <c r="AM340" s="115"/>
      <c r="AN340" s="115"/>
    </row>
    <row r="341" spans="1:40" s="7" customFormat="1" ht="15" x14ac:dyDescent="0.25">
      <c r="A341" s="118"/>
      <c r="B341" s="118"/>
      <c r="C341" s="118"/>
      <c r="D341" s="118"/>
      <c r="E341" s="118"/>
      <c r="F341" s="163"/>
      <c r="G341" s="168" t="e">
        <f>IF(N341="",0,1)</f>
        <v>#DIV/0!</v>
      </c>
      <c r="H341" s="217" t="s">
        <v>327</v>
      </c>
      <c r="I341" s="168"/>
      <c r="J341" s="217" t="s">
        <v>370</v>
      </c>
      <c r="K341" s="163"/>
      <c r="L341" s="163"/>
      <c r="M341" s="163"/>
      <c r="N341" s="163" t="e">
        <f>IF(AND(K323=2,M321="Debt Payments",M322="Savings"), CONCATENATE("- ", J341,"
"), IF(AND(T184=0,J323=8), CONCATENATE("- ", J341,"
"), ""))</f>
        <v>#DIV/0!</v>
      </c>
      <c r="O341" s="17"/>
      <c r="P341" s="17"/>
      <c r="Q341" s="17"/>
      <c r="R341" s="17"/>
      <c r="S341" s="17"/>
      <c r="T341" s="17"/>
      <c r="U341" s="17"/>
      <c r="V341" s="17"/>
      <c r="W341" s="17"/>
      <c r="AA341" s="115"/>
      <c r="AB341" s="115"/>
      <c r="AC341" s="115"/>
      <c r="AD341" s="115"/>
      <c r="AE341" s="115"/>
      <c r="AF341" s="115"/>
      <c r="AG341" s="115"/>
      <c r="AH341" s="115"/>
      <c r="AI341" s="115"/>
      <c r="AJ341" s="115"/>
      <c r="AK341" s="115"/>
      <c r="AL341" s="115"/>
      <c r="AM341" s="115"/>
      <c r="AN341" s="115"/>
    </row>
    <row r="342" spans="1:40" s="7" customFormat="1" ht="15" x14ac:dyDescent="0.25">
      <c r="A342" s="118"/>
      <c r="B342" s="118"/>
      <c r="C342" s="118"/>
      <c r="D342" s="118"/>
      <c r="E342" s="118"/>
      <c r="F342" s="163"/>
      <c r="G342" s="168" t="e">
        <f>IF(N342="",0,1)</f>
        <v>#DIV/0!</v>
      </c>
      <c r="H342" s="217" t="s">
        <v>326</v>
      </c>
      <c r="I342" s="168"/>
      <c r="J342" s="217" t="s">
        <v>331</v>
      </c>
      <c r="K342" s="163"/>
      <c r="L342" s="163"/>
      <c r="M342" s="163"/>
      <c r="N342" s="163" t="e">
        <f>IF(AND(K323=2,M321="Debt Payments",M322="Savings"), CONCATENATE("- ", J342,"
"), IF(AND(T203=0,J323=8), CONCATENATE("- ", J342,"
"), ""))</f>
        <v>#DIV/0!</v>
      </c>
      <c r="O342" s="17"/>
      <c r="P342" s="17"/>
      <c r="Q342" s="17"/>
      <c r="R342" s="17"/>
      <c r="S342" s="17"/>
      <c r="T342" s="17"/>
      <c r="U342" s="17"/>
      <c r="V342" s="17"/>
      <c r="W342" s="17"/>
      <c r="AA342" s="115"/>
      <c r="AB342" s="115"/>
      <c r="AC342" s="115"/>
      <c r="AD342" s="115"/>
      <c r="AE342" s="115"/>
      <c r="AF342" s="115"/>
      <c r="AG342" s="115"/>
      <c r="AH342" s="115"/>
      <c r="AI342" s="115"/>
      <c r="AJ342" s="115"/>
      <c r="AK342" s="115"/>
      <c r="AL342" s="115"/>
      <c r="AM342" s="115"/>
      <c r="AN342" s="115"/>
    </row>
    <row r="343" spans="1:40" s="7" customFormat="1" ht="15" x14ac:dyDescent="0.25">
      <c r="A343" s="118"/>
      <c r="B343" s="118"/>
      <c r="C343" s="118"/>
      <c r="D343" s="118"/>
      <c r="E343" s="118"/>
      <c r="F343" s="163"/>
      <c r="G343" s="168">
        <f>IF(N343="",0,1)</f>
        <v>1</v>
      </c>
      <c r="H343" s="217" t="s">
        <v>374</v>
      </c>
      <c r="I343" s="168"/>
      <c r="J343" s="218" t="str">
        <f>CONCATENATE("To balance your budget (bring expenses down so that they don't exceed your income), you may want to reconsider what you're spending in the ", IF(E244=1,CONCATENATE(F244, IF(D245=1, " and ", IF(D245=0, "", ", "))), ""), IF(E245=1,CONCATENATE(F245, IF(D246=1, " and ", IF(D246=0, "", ", "))), ""), IF(E246=1, CONCATENATE(F246, IF(D247=1, " and ", IF(D247=0, "", ", "))), ""), IF(E247=1,CONCATENATE(F247, IF(D248=1, " and ", IF(D248=0, "", ", "))), ""), IF(E248=1,CONCATENATE(F248, IF(D249=1, " and ", IF(D249=0, "", ", "))), ""), IF(E249=1,CONCATENATE(F249, IF(D250=1, " and ", IF(D250=0, "", ", "))), ""), IF(E250=1,CONCATENATE(F250, IF(D251=1, " and ", IF(D251=0, "", ", "))), ""), IF(E251=1,CONCATENATE(F251, IF(D252=1, " and ", IF(D252=0, "", ", "))), ""), IF(E252=1, CONCATENATE(F252), ""), IF(E253&gt;1, " categories", " category")," and see if there is any way to reduce these expenses.")</f>
        <v>To balance your budget (bring expenses down so that they don't exceed your income), you may want to reconsider what you're spending in the  category and see if there is any way to reduce these expenses.</v>
      </c>
      <c r="K343" s="163"/>
      <c r="L343" s="163"/>
      <c r="M343" s="163"/>
      <c r="N343" s="163" t="str">
        <f>IF(OR(AND(T1&gt;1,E253&gt;0),AND(T1&gt;1,L250&gt;0.1)), CONCATENATE("- ", J343,"
"), "")</f>
        <v xml:space="preserve">- To balance your budget (bring expenses down so that they don't exceed your income), you may want to reconsider what you're spending in the  category and see if there is any way to reduce these expenses.
</v>
      </c>
      <c r="O343" s="17"/>
      <c r="P343" s="17"/>
      <c r="Q343" s="17"/>
      <c r="R343" s="17"/>
      <c r="S343" s="17"/>
      <c r="T343" s="17"/>
      <c r="U343" s="17"/>
      <c r="V343" s="17"/>
      <c r="W343" s="17"/>
      <c r="AA343" s="115"/>
      <c r="AB343" s="115"/>
      <c r="AC343" s="115"/>
      <c r="AD343" s="115"/>
      <c r="AE343" s="115"/>
      <c r="AF343" s="115"/>
      <c r="AG343" s="115"/>
      <c r="AH343" s="115"/>
      <c r="AI343" s="115"/>
      <c r="AJ343" s="115"/>
      <c r="AK343" s="115"/>
      <c r="AL343" s="115"/>
      <c r="AM343" s="115"/>
      <c r="AN343" s="115"/>
    </row>
    <row r="344" spans="1:40" s="7" customFormat="1" ht="15" x14ac:dyDescent="0.25">
      <c r="A344" s="118"/>
      <c r="B344" s="118"/>
      <c r="C344" s="118"/>
      <c r="D344" s="118"/>
      <c r="E344" s="118"/>
      <c r="F344" s="163"/>
      <c r="G344" s="168" t="e">
        <f t="shared" ref="G344:G375" si="79">IF(N344="",0,1)</f>
        <v>#DIV/0!</v>
      </c>
      <c r="H344" s="217" t="s">
        <v>257</v>
      </c>
      <c r="I344" s="168">
        <v>80</v>
      </c>
      <c r="J344" s="219" t="s">
        <v>268</v>
      </c>
      <c r="K344" s="163"/>
      <c r="L344" s="163"/>
      <c r="M344" s="163" t="e">
        <f>IF(N344="", 0, J70-(80*T10))</f>
        <v>#DIV/0!</v>
      </c>
      <c r="N344" s="163" t="e">
        <f>IF((J70/T10)&gt;80,CONCATENATE("- ",J344,"
"), "")</f>
        <v>#DIV/0!</v>
      </c>
      <c r="O344" s="17"/>
      <c r="P344" s="17"/>
      <c r="Q344" s="17"/>
      <c r="R344" s="17"/>
      <c r="S344" s="17"/>
      <c r="T344" s="17"/>
      <c r="U344" s="17"/>
      <c r="V344" s="17"/>
      <c r="W344" s="17"/>
      <c r="AA344" s="115"/>
      <c r="AB344" s="115"/>
      <c r="AC344" s="115"/>
      <c r="AD344" s="115"/>
      <c r="AE344" s="115"/>
      <c r="AF344" s="115"/>
      <c r="AG344" s="115"/>
      <c r="AH344" s="115"/>
      <c r="AI344" s="115"/>
      <c r="AJ344" s="115"/>
      <c r="AK344" s="115"/>
      <c r="AL344" s="115"/>
      <c r="AM344" s="115"/>
      <c r="AN344" s="115"/>
    </row>
    <row r="345" spans="1:40" s="7" customFormat="1" ht="15" x14ac:dyDescent="0.25">
      <c r="A345" s="118"/>
      <c r="B345" s="118"/>
      <c r="C345" s="118"/>
      <c r="D345" s="118"/>
      <c r="E345" s="118"/>
      <c r="F345" s="163"/>
      <c r="G345" s="168">
        <f t="shared" si="79"/>
        <v>0</v>
      </c>
      <c r="H345" s="217" t="s">
        <v>235</v>
      </c>
      <c r="I345" s="168">
        <v>60</v>
      </c>
      <c r="J345" s="219" t="s">
        <v>267</v>
      </c>
      <c r="K345" s="163"/>
      <c r="L345" s="163"/>
      <c r="M345" s="163">
        <f>IF(N345="", 0, H70-60)</f>
        <v>0</v>
      </c>
      <c r="N345" s="163" t="str">
        <f>IF(H70&gt;60,CONCATENATE("- ",J345,"
"), "")</f>
        <v/>
      </c>
      <c r="O345" s="17"/>
      <c r="P345" s="17"/>
      <c r="Q345" s="17"/>
      <c r="R345" s="17"/>
      <c r="S345" s="17"/>
      <c r="T345" s="17"/>
      <c r="U345" s="17"/>
      <c r="V345" s="17"/>
      <c r="W345" s="17"/>
      <c r="AA345" s="115"/>
      <c r="AB345" s="115"/>
      <c r="AC345" s="115"/>
      <c r="AD345" s="115"/>
      <c r="AE345" s="115"/>
      <c r="AF345" s="115"/>
      <c r="AG345" s="115"/>
      <c r="AH345" s="115"/>
      <c r="AI345" s="115"/>
      <c r="AJ345" s="115"/>
      <c r="AK345" s="115"/>
      <c r="AL345" s="115"/>
      <c r="AM345" s="115"/>
      <c r="AN345" s="115"/>
    </row>
    <row r="346" spans="1:40" s="7" customFormat="1" ht="15" x14ac:dyDescent="0.25">
      <c r="A346" s="118"/>
      <c r="B346" s="118"/>
      <c r="C346" s="118"/>
      <c r="D346" s="118"/>
      <c r="E346" s="118"/>
      <c r="F346" s="163"/>
      <c r="G346" s="168" t="e">
        <f t="shared" si="79"/>
        <v>#DIV/0!</v>
      </c>
      <c r="H346" s="217" t="s">
        <v>236</v>
      </c>
      <c r="I346" s="168">
        <v>250</v>
      </c>
      <c r="J346" s="219" t="s">
        <v>266</v>
      </c>
      <c r="K346" s="163"/>
      <c r="L346" s="163"/>
      <c r="M346" s="163" t="e">
        <f>IF(N346="", 0, T81-(T10*250))</f>
        <v>#DIV/0!</v>
      </c>
      <c r="N346" s="163" t="e">
        <f>IF((T81/T10)&gt;280,CONCATENATE("- ",J346,"
"), "")</f>
        <v>#DIV/0!</v>
      </c>
      <c r="O346" s="17"/>
      <c r="P346" s="17"/>
      <c r="Q346" s="17"/>
      <c r="R346" s="17"/>
      <c r="S346" s="17"/>
      <c r="T346" s="17"/>
      <c r="U346" s="17"/>
      <c r="V346" s="17"/>
      <c r="W346" s="17"/>
      <c r="AA346" s="115"/>
      <c r="AB346" s="115"/>
      <c r="AC346" s="115"/>
      <c r="AD346" s="115"/>
      <c r="AE346" s="115"/>
      <c r="AF346" s="115"/>
      <c r="AG346" s="115"/>
      <c r="AH346" s="115"/>
      <c r="AI346" s="115"/>
      <c r="AJ346" s="115"/>
      <c r="AK346" s="115"/>
      <c r="AL346" s="115"/>
      <c r="AM346" s="115"/>
      <c r="AN346" s="115"/>
    </row>
    <row r="347" spans="1:40" s="7" customFormat="1" ht="48" customHeight="1" x14ac:dyDescent="0.2">
      <c r="A347" s="118"/>
      <c r="B347" s="118"/>
      <c r="C347" s="118"/>
      <c r="D347" s="118"/>
      <c r="E347" s="118"/>
      <c r="F347" s="163"/>
      <c r="G347" s="168">
        <f t="shared" si="79"/>
        <v>0</v>
      </c>
      <c r="H347" s="220" t="s">
        <v>237</v>
      </c>
      <c r="I347" s="168"/>
      <c r="J347" s="221" t="s">
        <v>262</v>
      </c>
      <c r="K347" s="163"/>
      <c r="L347" s="163"/>
      <c r="M347" s="169">
        <f>IF(N347="",0,IF(AND(T10=2,T57&gt;1200),T57-1200,IF(AND(T10&gt;2,T57&gt;(T10*400)),T57-(T10*400), T57-(T10*400))))</f>
        <v>0</v>
      </c>
      <c r="N347" s="169" t="str">
        <f>IF(OR(AND(T10=2,T57&gt;1200),AND(T10&gt;2,T57&gt;(T10*400))), CONCATENATE("- ",J347,"
"), "")</f>
        <v/>
      </c>
      <c r="O347" s="17"/>
      <c r="P347" s="17"/>
      <c r="Q347" s="17"/>
      <c r="R347" s="17"/>
      <c r="S347" s="17"/>
      <c r="T347" s="17"/>
      <c r="U347" s="17"/>
      <c r="V347" s="17"/>
      <c r="W347" s="17"/>
      <c r="AA347" s="115"/>
      <c r="AB347" s="115"/>
      <c r="AC347" s="115"/>
      <c r="AD347" s="115"/>
      <c r="AE347" s="115"/>
      <c r="AF347" s="115"/>
      <c r="AG347" s="115"/>
      <c r="AH347" s="115"/>
      <c r="AI347" s="115"/>
      <c r="AJ347" s="115"/>
      <c r="AK347" s="115"/>
      <c r="AL347" s="115"/>
      <c r="AM347" s="115"/>
      <c r="AN347" s="115"/>
    </row>
    <row r="348" spans="1:40" s="7" customFormat="1" ht="15" x14ac:dyDescent="0.25">
      <c r="A348" s="118"/>
      <c r="B348" s="118"/>
      <c r="C348" s="118"/>
      <c r="D348" s="118"/>
      <c r="E348" s="118"/>
      <c r="F348" s="163"/>
      <c r="G348" s="168">
        <f t="shared" si="79"/>
        <v>0</v>
      </c>
      <c r="H348" s="217" t="s">
        <v>263</v>
      </c>
      <c r="I348" s="168"/>
      <c r="J348" s="219" t="s">
        <v>300</v>
      </c>
      <c r="K348" s="163"/>
      <c r="L348" s="163"/>
      <c r="M348" s="163"/>
      <c r="N348" s="163" t="str">
        <f>IF(OR(AND(T10=1,T96&gt;700),AND(T10=2,T96&gt;1300),AND(T10&gt;2,T96&gt;1600)),CONCATENATE("- ",J348,"
"), "")</f>
        <v/>
      </c>
      <c r="O348" s="17"/>
      <c r="P348" s="17"/>
      <c r="Q348" s="17"/>
      <c r="R348" s="17"/>
      <c r="S348" s="17"/>
      <c r="T348" s="17"/>
      <c r="U348" s="17"/>
      <c r="V348" s="17"/>
      <c r="W348" s="17"/>
      <c r="AA348" s="115"/>
      <c r="AB348" s="115"/>
      <c r="AC348" s="115"/>
      <c r="AD348" s="115"/>
      <c r="AE348" s="115"/>
      <c r="AF348" s="115"/>
      <c r="AG348" s="115"/>
      <c r="AH348" s="115"/>
      <c r="AI348" s="115"/>
      <c r="AJ348" s="115"/>
      <c r="AK348" s="115"/>
      <c r="AL348" s="115"/>
      <c r="AM348" s="115"/>
      <c r="AN348" s="115"/>
    </row>
    <row r="349" spans="1:40" s="7" customFormat="1" ht="15" x14ac:dyDescent="0.25">
      <c r="A349" s="118"/>
      <c r="B349" s="118"/>
      <c r="C349" s="118"/>
      <c r="D349" s="118"/>
      <c r="E349" s="118"/>
      <c r="F349" s="163"/>
      <c r="G349" s="168">
        <f t="shared" si="79"/>
        <v>0</v>
      </c>
      <c r="H349" s="217" t="s">
        <v>334</v>
      </c>
      <c r="I349" s="168"/>
      <c r="J349" s="219" t="s">
        <v>335</v>
      </c>
      <c r="K349" s="163"/>
      <c r="L349" s="163"/>
      <c r="M349" s="163"/>
      <c r="N349" s="163" t="str">
        <f>IF(G96&gt;1,CONCATENATE("- ",J349,"
"), "")</f>
        <v/>
      </c>
      <c r="O349" s="17"/>
      <c r="P349" s="17"/>
      <c r="Q349" s="17"/>
      <c r="R349" s="17"/>
      <c r="S349" s="17"/>
      <c r="T349" s="17"/>
      <c r="U349" s="17"/>
      <c r="V349" s="17"/>
      <c r="W349" s="17"/>
      <c r="AA349" s="115"/>
      <c r="AB349" s="115"/>
      <c r="AC349" s="115"/>
      <c r="AD349" s="115"/>
      <c r="AE349" s="115"/>
      <c r="AF349" s="115"/>
      <c r="AG349" s="115"/>
      <c r="AH349" s="115"/>
      <c r="AI349" s="115"/>
      <c r="AJ349" s="115"/>
      <c r="AK349" s="115"/>
      <c r="AL349" s="115"/>
      <c r="AM349" s="115"/>
      <c r="AN349" s="115"/>
    </row>
    <row r="350" spans="1:40" s="7" customFormat="1" ht="15" x14ac:dyDescent="0.25">
      <c r="A350" s="118"/>
      <c r="B350" s="118"/>
      <c r="C350" s="118"/>
      <c r="D350" s="118"/>
      <c r="E350" s="118"/>
      <c r="F350" s="163"/>
      <c r="G350" s="168" t="e">
        <f t="shared" si="79"/>
        <v>#DIV/0!</v>
      </c>
      <c r="H350" s="217" t="s">
        <v>290</v>
      </c>
      <c r="I350" s="168">
        <v>30</v>
      </c>
      <c r="J350" s="219" t="s">
        <v>301</v>
      </c>
      <c r="K350" s="163"/>
      <c r="L350" s="163"/>
      <c r="M350" s="163" t="e">
        <f>IF(N350="", 0, T108-(T10*50))</f>
        <v>#DIV/0!</v>
      </c>
      <c r="N350" s="163" t="e">
        <f>IF((T108/T10)&gt;50,CONCATENATE("- ",J350,"
"), "")</f>
        <v>#DIV/0!</v>
      </c>
      <c r="O350" s="17"/>
      <c r="P350" s="17"/>
      <c r="Q350" s="17"/>
      <c r="R350" s="17"/>
      <c r="S350" s="17"/>
      <c r="T350" s="17"/>
      <c r="U350" s="17"/>
      <c r="V350" s="17"/>
      <c r="W350" s="17"/>
      <c r="AA350" s="115"/>
      <c r="AB350" s="115"/>
      <c r="AC350" s="115"/>
      <c r="AD350" s="115"/>
      <c r="AE350" s="115"/>
      <c r="AF350" s="115"/>
      <c r="AG350" s="115"/>
      <c r="AH350" s="115"/>
      <c r="AI350" s="115"/>
      <c r="AJ350" s="115"/>
      <c r="AK350" s="115"/>
      <c r="AL350" s="115"/>
      <c r="AM350" s="115"/>
      <c r="AN350" s="115"/>
    </row>
    <row r="351" spans="1:40" s="7" customFormat="1" ht="31.5" customHeight="1" x14ac:dyDescent="0.2">
      <c r="A351" s="118"/>
      <c r="B351" s="118"/>
      <c r="C351" s="118"/>
      <c r="D351" s="118"/>
      <c r="E351" s="118"/>
      <c r="F351" s="163"/>
      <c r="G351" s="168" t="e">
        <f t="shared" si="79"/>
        <v>#DIV/0!</v>
      </c>
      <c r="H351" s="220" t="s">
        <v>238</v>
      </c>
      <c r="I351" s="168"/>
      <c r="J351" s="222" t="s">
        <v>325</v>
      </c>
      <c r="K351" s="163"/>
      <c r="L351" s="163"/>
      <c r="M351" s="163"/>
      <c r="N351" s="169" t="e">
        <f>IF(AND((T203/T37)&gt;0.1,O188="Line of Credit",T188&lt;(T203*0.4)), CONCATENATE("- ",J351,"
"), "")</f>
        <v>#DIV/0!</v>
      </c>
      <c r="O351" s="17"/>
      <c r="P351" s="17"/>
      <c r="Q351" s="17"/>
      <c r="R351" s="17"/>
      <c r="S351" s="17"/>
      <c r="T351" s="17"/>
      <c r="U351" s="17"/>
      <c r="V351" s="17"/>
      <c r="W351" s="17"/>
      <c r="AA351" s="115"/>
      <c r="AB351" s="115"/>
      <c r="AC351" s="115"/>
      <c r="AD351" s="115"/>
      <c r="AE351" s="115"/>
      <c r="AF351" s="115"/>
      <c r="AG351" s="115"/>
      <c r="AH351" s="115"/>
      <c r="AI351" s="115"/>
      <c r="AJ351" s="115"/>
      <c r="AK351" s="115"/>
      <c r="AL351" s="115"/>
      <c r="AM351" s="115"/>
      <c r="AN351" s="115"/>
    </row>
    <row r="352" spans="1:40" s="7" customFormat="1" ht="15" x14ac:dyDescent="0.25">
      <c r="A352" s="118"/>
      <c r="B352" s="118"/>
      <c r="C352" s="118"/>
      <c r="D352" s="118"/>
      <c r="E352" s="118"/>
      <c r="F352" s="163"/>
      <c r="G352" s="168">
        <f t="shared" si="79"/>
        <v>0</v>
      </c>
      <c r="H352" s="217" t="s">
        <v>264</v>
      </c>
      <c r="I352" s="168">
        <v>40</v>
      </c>
      <c r="J352" s="219" t="s">
        <v>265</v>
      </c>
      <c r="K352" s="163"/>
      <c r="L352" s="163"/>
      <c r="M352" s="163">
        <f>IF(AND(O150="Hobbies",N150&gt;(40*T10)), N150-(40*T10), 0)</f>
        <v>0</v>
      </c>
      <c r="N352" s="163" t="str">
        <f>IF(AND(O150="Hobbies",N150&gt;(40*T10)),CONCATENATE("- ",J352,"
"), "")</f>
        <v/>
      </c>
      <c r="O352" s="17"/>
      <c r="P352" s="17"/>
      <c r="Q352" s="17"/>
      <c r="R352" s="17"/>
      <c r="S352" s="17"/>
      <c r="T352" s="17"/>
      <c r="U352" s="17"/>
      <c r="V352" s="17"/>
      <c r="W352" s="17"/>
    </row>
    <row r="353" spans="1:23" s="7" customFormat="1" ht="15" x14ac:dyDescent="0.25">
      <c r="A353" s="118"/>
      <c r="B353" s="118"/>
      <c r="C353" s="118"/>
      <c r="D353" s="118"/>
      <c r="E353" s="118"/>
      <c r="F353" s="163"/>
      <c r="G353" s="168">
        <f t="shared" si="79"/>
        <v>0</v>
      </c>
      <c r="H353" s="217" t="s">
        <v>239</v>
      </c>
      <c r="I353" s="168">
        <v>50</v>
      </c>
      <c r="J353" s="219" t="s">
        <v>428</v>
      </c>
      <c r="K353" s="163"/>
      <c r="L353" s="163"/>
      <c r="M353" s="163">
        <f>IF(N353="",0,(N145-(T10*50)))</f>
        <v>0</v>
      </c>
      <c r="N353" s="163" t="str">
        <f>IF(AND(O145="Entertainment (e.g. Movies, Event Tickets, Social Activities)",N145&gt;(50*T10)),CONCATENATE("- ",J353,"
"), "")</f>
        <v/>
      </c>
      <c r="O353" s="17"/>
      <c r="P353" s="17"/>
      <c r="Q353" s="17"/>
      <c r="R353" s="17"/>
      <c r="S353" s="17"/>
      <c r="T353" s="17"/>
      <c r="U353" s="17"/>
      <c r="V353" s="17"/>
      <c r="W353" s="17"/>
    </row>
    <row r="354" spans="1:23" s="7" customFormat="1" ht="15" x14ac:dyDescent="0.25">
      <c r="A354" s="118"/>
      <c r="B354" s="118"/>
      <c r="C354" s="118"/>
      <c r="D354" s="118"/>
      <c r="E354" s="118"/>
      <c r="F354" s="163"/>
      <c r="G354" s="168">
        <f t="shared" si="79"/>
        <v>0</v>
      </c>
      <c r="H354" s="217" t="s">
        <v>240</v>
      </c>
      <c r="I354" s="168"/>
      <c r="J354" s="219" t="s">
        <v>269</v>
      </c>
      <c r="K354" s="163"/>
      <c r="L354" s="163"/>
      <c r="M354" s="163"/>
      <c r="N354" s="163" t="str">
        <f>IF(AND(O48="Hydro",T48&gt;200),CONCATENATE("- ",J354,"
"),"")</f>
        <v/>
      </c>
      <c r="O354" s="17"/>
      <c r="P354" s="17"/>
      <c r="Q354" s="17"/>
      <c r="R354" s="17"/>
      <c r="S354" s="17"/>
      <c r="T354" s="17"/>
      <c r="U354" s="17"/>
      <c r="V354" s="17"/>
      <c r="W354" s="17"/>
    </row>
    <row r="355" spans="1:23" s="7" customFormat="1" ht="15" x14ac:dyDescent="0.25">
      <c r="A355" s="118"/>
      <c r="B355" s="118"/>
      <c r="C355" s="118"/>
      <c r="D355" s="118"/>
      <c r="E355" s="118"/>
      <c r="F355" s="163"/>
      <c r="G355" s="168"/>
      <c r="H355" s="217" t="s">
        <v>241</v>
      </c>
      <c r="I355" s="168"/>
      <c r="J355" s="219" t="s">
        <v>270</v>
      </c>
      <c r="K355" s="163"/>
      <c r="L355" s="163"/>
      <c r="M355" s="163"/>
      <c r="N355" s="163"/>
      <c r="O355" s="17"/>
      <c r="P355" s="17"/>
      <c r="Q355" s="17"/>
      <c r="R355" s="17"/>
      <c r="S355" s="17"/>
      <c r="T355" s="17"/>
      <c r="U355" s="17"/>
      <c r="V355" s="17"/>
      <c r="W355" s="17"/>
    </row>
    <row r="356" spans="1:23" s="7" customFormat="1" ht="15" x14ac:dyDescent="0.25">
      <c r="A356" s="118"/>
      <c r="B356" s="118"/>
      <c r="C356" s="118"/>
      <c r="D356" s="118"/>
      <c r="E356" s="118"/>
      <c r="F356" s="163"/>
      <c r="G356" s="168">
        <f t="shared" si="79"/>
        <v>0</v>
      </c>
      <c r="H356" s="219" t="s">
        <v>280</v>
      </c>
      <c r="I356" s="168"/>
      <c r="J356" s="219" t="s">
        <v>271</v>
      </c>
      <c r="K356" s="163"/>
      <c r="L356" s="163"/>
      <c r="M356" s="163"/>
      <c r="N356" s="163" t="str">
        <f>IF(AND(O66="Internet",T66&gt;60), CONCATENATE("- ",J356,"
"), "")</f>
        <v/>
      </c>
      <c r="O356" s="17"/>
      <c r="P356" s="17"/>
      <c r="Q356" s="17"/>
      <c r="R356" s="17"/>
      <c r="S356" s="17"/>
      <c r="T356" s="17"/>
      <c r="U356" s="17"/>
      <c r="V356" s="17"/>
      <c r="W356" s="17"/>
    </row>
    <row r="357" spans="1:23" s="7" customFormat="1" ht="15" x14ac:dyDescent="0.25">
      <c r="A357" s="118"/>
      <c r="B357" s="118"/>
      <c r="C357" s="118"/>
      <c r="D357" s="118"/>
      <c r="E357" s="118"/>
      <c r="F357" s="163"/>
      <c r="G357" s="168">
        <f t="shared" si="79"/>
        <v>0</v>
      </c>
      <c r="H357" s="217" t="s">
        <v>242</v>
      </c>
      <c r="I357" s="168"/>
      <c r="J357" s="219" t="s">
        <v>243</v>
      </c>
      <c r="K357" s="163"/>
      <c r="L357" s="163"/>
      <c r="M357" s="163"/>
      <c r="N357" s="163" t="str">
        <f>IF(AND(J70&gt;0,O61="Phone (including long distance)",T61&gt;0), CONCATENATE("- ",J357,"
"), "")</f>
        <v/>
      </c>
      <c r="O357" s="17"/>
      <c r="P357" s="17"/>
      <c r="Q357" s="17"/>
      <c r="R357" s="17"/>
      <c r="S357" s="17"/>
      <c r="T357" s="17"/>
      <c r="U357" s="17"/>
      <c r="V357" s="17"/>
      <c r="W357" s="17"/>
    </row>
    <row r="358" spans="1:23" s="7" customFormat="1" ht="15" x14ac:dyDescent="0.25">
      <c r="A358" s="118"/>
      <c r="B358" s="118"/>
      <c r="C358" s="118"/>
      <c r="D358" s="118"/>
      <c r="E358" s="118"/>
      <c r="F358" s="163"/>
      <c r="G358" s="168">
        <f t="shared" si="79"/>
        <v>0</v>
      </c>
      <c r="H358" s="217" t="s">
        <v>244</v>
      </c>
      <c r="I358" s="168"/>
      <c r="J358" s="219" t="s">
        <v>272</v>
      </c>
      <c r="K358" s="163"/>
      <c r="L358" s="163"/>
      <c r="M358" s="163"/>
      <c r="N358" s="163" t="str">
        <f>IF(AND(N161&gt;0,O161="Storage Locker"), CONCATENATE("- ",J358,"
"), "")</f>
        <v/>
      </c>
      <c r="O358" s="17"/>
      <c r="P358" s="17"/>
      <c r="Q358" s="17"/>
      <c r="R358" s="17"/>
      <c r="S358" s="17"/>
      <c r="T358" s="17"/>
      <c r="U358" s="17"/>
      <c r="V358" s="17"/>
      <c r="W358" s="17"/>
    </row>
    <row r="359" spans="1:23" s="7" customFormat="1" ht="15" x14ac:dyDescent="0.25">
      <c r="A359" s="118"/>
      <c r="B359" s="118"/>
      <c r="C359" s="118"/>
      <c r="D359" s="118"/>
      <c r="E359" s="118"/>
      <c r="F359" s="163"/>
      <c r="G359" s="168">
        <f t="shared" si="79"/>
        <v>0</v>
      </c>
      <c r="H359" s="217" t="s">
        <v>245</v>
      </c>
      <c r="I359" s="168"/>
      <c r="J359" s="223" t="s">
        <v>279</v>
      </c>
      <c r="K359" s="163"/>
      <c r="L359" s="163"/>
      <c r="M359" s="163"/>
      <c r="N359" s="163" t="str">
        <f>IF(AND(T78&gt;30,O78="Personal Care (e.g. Grooming, Cosmetics)"), CONCATENATE("- ",J359,"
"), "")</f>
        <v/>
      </c>
      <c r="O359" s="17"/>
      <c r="P359" s="17"/>
      <c r="Q359" s="17"/>
      <c r="R359" s="17"/>
      <c r="S359" s="17"/>
      <c r="T359" s="17"/>
      <c r="U359" s="17"/>
      <c r="V359" s="17"/>
      <c r="W359" s="17"/>
    </row>
    <row r="360" spans="1:23" s="7" customFormat="1" ht="15" x14ac:dyDescent="0.25">
      <c r="A360" s="118"/>
      <c r="B360" s="118"/>
      <c r="C360" s="118"/>
      <c r="D360" s="118"/>
      <c r="E360" s="118"/>
      <c r="F360" s="163"/>
      <c r="G360" s="168"/>
      <c r="H360" s="219" t="s">
        <v>281</v>
      </c>
      <c r="I360" s="168"/>
      <c r="J360" s="219" t="s">
        <v>273</v>
      </c>
      <c r="K360" s="163"/>
      <c r="L360" s="163"/>
      <c r="M360" s="163"/>
      <c r="N360" s="163"/>
      <c r="O360" s="17"/>
      <c r="P360" s="17"/>
      <c r="Q360" s="17"/>
      <c r="R360" s="17"/>
      <c r="S360" s="17"/>
      <c r="T360" s="17"/>
      <c r="U360" s="17"/>
      <c r="V360" s="17"/>
      <c r="W360" s="17"/>
    </row>
    <row r="361" spans="1:23" s="7" customFormat="1" ht="15" x14ac:dyDescent="0.25">
      <c r="A361" s="118"/>
      <c r="B361" s="118"/>
      <c r="C361" s="118"/>
      <c r="D361" s="118"/>
      <c r="E361" s="118"/>
      <c r="F361" s="163"/>
      <c r="G361" s="168" t="e">
        <f t="shared" si="79"/>
        <v>#DIV/0!</v>
      </c>
      <c r="H361" s="217" t="s">
        <v>246</v>
      </c>
      <c r="I361" s="168"/>
      <c r="J361" s="219" t="s">
        <v>247</v>
      </c>
      <c r="K361" s="163"/>
      <c r="L361" s="163"/>
      <c r="M361" s="163"/>
      <c r="N361" s="163" t="e">
        <f>IF(AND((N122/T10)&gt;100,O122="Life Insurance"), CONCATENATE("- ",J361,"
"), "")</f>
        <v>#DIV/0!</v>
      </c>
      <c r="O361" s="17"/>
      <c r="P361" s="17"/>
      <c r="Q361" s="17"/>
      <c r="R361" s="17"/>
      <c r="S361" s="17"/>
      <c r="T361" s="17"/>
      <c r="U361" s="17"/>
      <c r="V361" s="17"/>
      <c r="W361" s="17"/>
    </row>
    <row r="362" spans="1:23" s="7" customFormat="1" ht="15" x14ac:dyDescent="0.25">
      <c r="A362" s="118"/>
      <c r="B362" s="118"/>
      <c r="C362" s="118"/>
      <c r="D362" s="118"/>
      <c r="E362" s="118"/>
      <c r="F362" s="163"/>
      <c r="G362" s="168">
        <f t="shared" si="79"/>
        <v>0</v>
      </c>
      <c r="H362" s="219" t="s">
        <v>282</v>
      </c>
      <c r="I362" s="168"/>
      <c r="J362" s="219" t="s">
        <v>291</v>
      </c>
      <c r="K362" s="163"/>
      <c r="L362" s="163"/>
      <c r="M362" s="163"/>
      <c r="N362" s="163" t="str">
        <f>IF(AND(N160&gt;(15*T10),O160="Bank Fees / Safety Deposit Box"), CONCATENATE("- ",J362,"
"), "")</f>
        <v/>
      </c>
      <c r="O362" s="17"/>
      <c r="P362" s="17"/>
      <c r="Q362" s="17"/>
      <c r="R362" s="17"/>
      <c r="S362" s="17"/>
      <c r="T362" s="17"/>
      <c r="U362" s="17"/>
      <c r="V362" s="17"/>
      <c r="W362" s="17"/>
    </row>
    <row r="363" spans="1:23" s="7" customFormat="1" ht="15" x14ac:dyDescent="0.25">
      <c r="A363" s="118"/>
      <c r="B363" s="118"/>
      <c r="C363" s="118"/>
      <c r="D363" s="118"/>
      <c r="E363" s="118"/>
      <c r="F363" s="163"/>
      <c r="G363" s="168">
        <f t="shared" si="79"/>
        <v>0</v>
      </c>
      <c r="H363" s="217" t="s">
        <v>248</v>
      </c>
      <c r="I363" s="168"/>
      <c r="J363" s="219" t="s">
        <v>321</v>
      </c>
      <c r="K363" s="163"/>
      <c r="L363" s="163"/>
      <c r="M363" s="163"/>
      <c r="N363" s="163" t="str">
        <f>IF(OR(AND(G140=1,F140&gt;40),AND(G140&gt;1,F140&gt;80)), CONCATENATE("- ",J363,"
"), "")</f>
        <v/>
      </c>
      <c r="O363" s="17"/>
      <c r="P363" s="17"/>
      <c r="Q363" s="17"/>
      <c r="R363" s="17"/>
      <c r="S363" s="17"/>
      <c r="T363" s="17"/>
      <c r="U363" s="17"/>
      <c r="V363" s="17"/>
      <c r="W363" s="17"/>
    </row>
    <row r="364" spans="1:23" s="7" customFormat="1" ht="15" x14ac:dyDescent="0.25">
      <c r="A364" s="118"/>
      <c r="B364" s="118"/>
      <c r="C364" s="118"/>
      <c r="D364" s="118"/>
      <c r="E364" s="118"/>
      <c r="F364" s="163"/>
      <c r="G364" s="168">
        <f t="shared" si="79"/>
        <v>0</v>
      </c>
      <c r="H364" s="217" t="s">
        <v>249</v>
      </c>
      <c r="I364" s="168"/>
      <c r="J364" s="219" t="s">
        <v>293</v>
      </c>
      <c r="K364" s="163"/>
      <c r="L364" s="163"/>
      <c r="M364" s="163"/>
      <c r="N364" s="163" t="str">
        <f>IF(AND(N143&gt;0,O143="Tobacco"), CONCATENATE("- ",J364,"
"), "")</f>
        <v/>
      </c>
      <c r="O364" s="17"/>
      <c r="P364" s="17"/>
      <c r="Q364" s="17"/>
      <c r="R364" s="17"/>
      <c r="S364" s="17"/>
      <c r="T364" s="17"/>
      <c r="U364" s="17"/>
      <c r="V364" s="17"/>
      <c r="W364" s="17"/>
    </row>
    <row r="365" spans="1:23" s="7" customFormat="1" ht="15" x14ac:dyDescent="0.25">
      <c r="A365" s="118"/>
      <c r="B365" s="118"/>
      <c r="C365" s="118"/>
      <c r="D365" s="118"/>
      <c r="E365" s="118"/>
      <c r="F365" s="163"/>
      <c r="G365" s="168" t="e">
        <f t="shared" si="79"/>
        <v>#DIV/0!</v>
      </c>
      <c r="H365" s="219" t="s">
        <v>283</v>
      </c>
      <c r="I365" s="168"/>
      <c r="J365" s="219" t="s">
        <v>274</v>
      </c>
      <c r="K365" s="163"/>
      <c r="L365" s="163"/>
      <c r="M365" s="163"/>
      <c r="N365" s="163" t="e">
        <f>IF(AND((N144/T10)&gt;25,O144="Alcohol"), CONCATENATE("- ",J365,"
"), "")</f>
        <v>#DIV/0!</v>
      </c>
      <c r="O365" s="17"/>
      <c r="P365" s="17"/>
      <c r="Q365" s="17"/>
      <c r="R365" s="17"/>
      <c r="S365" s="17"/>
      <c r="T365" s="17"/>
      <c r="U365" s="17"/>
      <c r="V365" s="17"/>
      <c r="W365" s="17"/>
    </row>
    <row r="366" spans="1:23" s="7" customFormat="1" ht="15" x14ac:dyDescent="0.25">
      <c r="A366" s="118"/>
      <c r="B366" s="118"/>
      <c r="C366" s="118"/>
      <c r="D366" s="118"/>
      <c r="E366" s="118"/>
      <c r="F366" s="163"/>
      <c r="G366" s="168">
        <f t="shared" si="79"/>
        <v>0</v>
      </c>
      <c r="H366" s="219" t="s">
        <v>250</v>
      </c>
      <c r="I366" s="168"/>
      <c r="J366" s="219" t="s">
        <v>294</v>
      </c>
      <c r="K366" s="163"/>
      <c r="L366" s="163"/>
      <c r="M366" s="163"/>
      <c r="N366" s="163" t="str">
        <f>IF(AND(N154&gt;0,O154="Fitness Memberships"), CONCATENATE("- ",J366,"
"), "")</f>
        <v/>
      </c>
      <c r="O366" s="17"/>
      <c r="P366" s="17"/>
      <c r="Q366" s="17"/>
      <c r="R366" s="17"/>
      <c r="S366" s="17"/>
      <c r="T366" s="17"/>
      <c r="U366" s="17"/>
      <c r="V366" s="17"/>
      <c r="W366" s="17"/>
    </row>
    <row r="367" spans="1:23" s="7" customFormat="1" ht="15" x14ac:dyDescent="0.25">
      <c r="A367" s="118"/>
      <c r="B367" s="118"/>
      <c r="C367" s="118"/>
      <c r="D367" s="118"/>
      <c r="E367" s="118"/>
      <c r="F367" s="163"/>
      <c r="G367" s="168" t="e">
        <f t="shared" si="79"/>
        <v>#DIV/0!</v>
      </c>
      <c r="H367" s="219" t="s">
        <v>251</v>
      </c>
      <c r="I367" s="168"/>
      <c r="J367" s="219" t="s">
        <v>275</v>
      </c>
      <c r="K367" s="163"/>
      <c r="L367" s="163"/>
      <c r="M367" s="163"/>
      <c r="N367" s="163" t="e">
        <f>IF(AND((N141/T10)&gt;40,O141="Eating Out"), CONCATENATE("- ",J367,"
"), "")</f>
        <v>#DIV/0!</v>
      </c>
      <c r="O367" s="17"/>
      <c r="P367" s="17"/>
      <c r="Q367" s="17"/>
      <c r="R367" s="17"/>
      <c r="S367" s="17"/>
      <c r="T367" s="17"/>
      <c r="U367" s="17"/>
      <c r="V367" s="17"/>
      <c r="W367" s="17"/>
    </row>
    <row r="368" spans="1:23" s="7" customFormat="1" ht="15" x14ac:dyDescent="0.25">
      <c r="A368" s="118"/>
      <c r="B368" s="118"/>
      <c r="C368" s="118"/>
      <c r="D368" s="118"/>
      <c r="E368" s="118"/>
      <c r="F368" s="163"/>
      <c r="G368" s="168">
        <f t="shared" si="79"/>
        <v>0</v>
      </c>
      <c r="H368" s="219" t="s">
        <v>284</v>
      </c>
      <c r="I368" s="168"/>
      <c r="J368" s="219" t="s">
        <v>295</v>
      </c>
      <c r="K368" s="163"/>
      <c r="L368" s="163"/>
      <c r="M368" s="163"/>
      <c r="N368" s="163" t="str">
        <f>IF(AND(N151&gt;0,O151="Lottery / Gaming / Bingo"), CONCATENATE("- ",J368,"
"), "")</f>
        <v/>
      </c>
      <c r="O368" s="17"/>
      <c r="P368" s="17"/>
      <c r="Q368" s="17"/>
      <c r="R368" s="17"/>
      <c r="S368" s="17"/>
      <c r="T368" s="17"/>
      <c r="U368" s="17"/>
      <c r="V368" s="17"/>
      <c r="W368" s="17"/>
    </row>
    <row r="369" spans="1:23" s="7" customFormat="1" ht="15" x14ac:dyDescent="0.25">
      <c r="A369" s="118"/>
      <c r="B369" s="118"/>
      <c r="C369" s="118"/>
      <c r="D369" s="118"/>
      <c r="E369" s="118"/>
      <c r="F369" s="163"/>
      <c r="G369" s="168">
        <f t="shared" si="79"/>
        <v>0</v>
      </c>
      <c r="H369" s="219" t="s">
        <v>285</v>
      </c>
      <c r="I369" s="168"/>
      <c r="J369" s="219" t="s">
        <v>296</v>
      </c>
      <c r="K369" s="163"/>
      <c r="L369" s="163"/>
      <c r="M369" s="163"/>
      <c r="N369" s="163" t="str">
        <f>IF(AND(N153&gt;0,O153="Salon Services (e.g. Tanning, Aesthetics)"), CONCATENATE("- ",J369,"
"), "")</f>
        <v/>
      </c>
      <c r="O369" s="17"/>
      <c r="P369" s="17"/>
      <c r="Q369" s="17"/>
      <c r="R369" s="17"/>
      <c r="S369" s="17"/>
      <c r="T369" s="17"/>
      <c r="U369" s="17"/>
      <c r="V369" s="17"/>
      <c r="W369" s="17"/>
    </row>
    <row r="370" spans="1:23" s="7" customFormat="1" ht="15" x14ac:dyDescent="0.25">
      <c r="A370" s="118"/>
      <c r="B370" s="118"/>
      <c r="C370" s="118"/>
      <c r="D370" s="118"/>
      <c r="E370" s="118"/>
      <c r="F370" s="163"/>
      <c r="G370" s="168">
        <f t="shared" si="79"/>
        <v>0</v>
      </c>
      <c r="H370" s="219" t="s">
        <v>286</v>
      </c>
      <c r="I370" s="168"/>
      <c r="J370" s="219" t="s">
        <v>297</v>
      </c>
      <c r="K370" s="163"/>
      <c r="L370" s="163"/>
      <c r="M370" s="163"/>
      <c r="N370" s="163" t="str">
        <f>IF(AND(N155&gt;10,O155="Magazines / Newspapers / Books"), CONCATENATE("- ",J370,"
"), "")</f>
        <v/>
      </c>
      <c r="O370" s="17"/>
      <c r="P370" s="17"/>
      <c r="Q370" s="17"/>
      <c r="R370" s="17"/>
      <c r="S370" s="17"/>
      <c r="T370" s="17"/>
      <c r="U370" s="17"/>
      <c r="V370" s="17"/>
      <c r="W370" s="17"/>
    </row>
    <row r="371" spans="1:23" s="7" customFormat="1" ht="15" x14ac:dyDescent="0.25">
      <c r="A371" s="118"/>
      <c r="B371" s="118"/>
      <c r="C371" s="118"/>
      <c r="D371" s="118"/>
      <c r="E371" s="118"/>
      <c r="F371" s="163"/>
      <c r="G371" s="168">
        <f t="shared" si="79"/>
        <v>0</v>
      </c>
      <c r="H371" s="219" t="s">
        <v>252</v>
      </c>
      <c r="I371" s="168"/>
      <c r="J371" s="219" t="s">
        <v>298</v>
      </c>
      <c r="K371" s="163"/>
      <c r="L371" s="163"/>
      <c r="M371" s="163"/>
      <c r="N371" s="163" t="str">
        <f>IF(AND(L169&gt;100,O157="Gifts / Special Occasions",O169="Gifts"), CONCATENATE("- ",J371,"
"), "")</f>
        <v/>
      </c>
      <c r="O371" s="17"/>
      <c r="P371" s="17"/>
      <c r="Q371" s="17"/>
      <c r="R371" s="17"/>
      <c r="S371" s="17"/>
      <c r="T371" s="17"/>
      <c r="U371" s="17"/>
      <c r="V371" s="17"/>
      <c r="W371" s="17"/>
    </row>
    <row r="372" spans="1:23" s="7" customFormat="1" ht="15" x14ac:dyDescent="0.25">
      <c r="A372" s="118"/>
      <c r="B372" s="118"/>
      <c r="C372" s="118"/>
      <c r="D372" s="118"/>
      <c r="E372" s="118"/>
      <c r="F372" s="163"/>
      <c r="G372" s="168">
        <f t="shared" si="79"/>
        <v>0</v>
      </c>
      <c r="H372" s="219" t="s">
        <v>287</v>
      </c>
      <c r="I372" s="168"/>
      <c r="J372" s="219" t="s">
        <v>276</v>
      </c>
      <c r="K372" s="163"/>
      <c r="L372" s="163"/>
      <c r="M372" s="163"/>
      <c r="N372" s="163" t="str">
        <f>IF(AND(N149&gt;(T37*0.07),O149="Travel / Vacations"), CONCATENATE("- ",J372,"
"), "")</f>
        <v/>
      </c>
      <c r="O372" s="17"/>
      <c r="P372" s="17"/>
      <c r="Q372" s="17"/>
      <c r="R372" s="17"/>
      <c r="S372" s="17"/>
      <c r="T372" s="17"/>
      <c r="U372" s="17"/>
      <c r="V372" s="17"/>
      <c r="W372" s="17"/>
    </row>
    <row r="373" spans="1:23" s="7" customFormat="1" ht="15" x14ac:dyDescent="0.25">
      <c r="A373" s="118"/>
      <c r="B373" s="118"/>
      <c r="C373" s="118"/>
      <c r="D373" s="118"/>
      <c r="E373" s="118"/>
      <c r="F373" s="163"/>
      <c r="G373" s="168">
        <f t="shared" si="79"/>
        <v>0</v>
      </c>
      <c r="H373" s="219" t="s">
        <v>288</v>
      </c>
      <c r="I373" s="168"/>
      <c r="J373" s="219" t="s">
        <v>299</v>
      </c>
      <c r="K373" s="163"/>
      <c r="L373" s="163"/>
      <c r="M373" s="163"/>
      <c r="N373" s="163" t="str">
        <f>IF(AND(N152&gt;(T37*0.11),OR(O152="Donations / Charitable / Planned Giving",O152="Tithe / Planned Giving")), CONCATENATE("- ",J373,"
"), "")</f>
        <v/>
      </c>
      <c r="O373" s="17"/>
      <c r="P373" s="17"/>
      <c r="Q373" s="17"/>
      <c r="R373" s="17"/>
      <c r="S373" s="17"/>
      <c r="T373" s="17"/>
      <c r="U373" s="17"/>
      <c r="V373" s="17"/>
      <c r="W373" s="17"/>
    </row>
    <row r="374" spans="1:23" s="7" customFormat="1" ht="15" x14ac:dyDescent="0.25">
      <c r="A374" s="118"/>
      <c r="B374" s="118"/>
      <c r="C374" s="118"/>
      <c r="D374" s="118"/>
      <c r="E374" s="118"/>
      <c r="F374" s="163"/>
      <c r="G374" s="168">
        <f t="shared" si="79"/>
        <v>0</v>
      </c>
      <c r="H374" s="219" t="s">
        <v>289</v>
      </c>
      <c r="I374" s="168"/>
      <c r="J374" s="219" t="s">
        <v>277</v>
      </c>
      <c r="K374" s="163"/>
      <c r="L374" s="163"/>
      <c r="M374" s="163"/>
      <c r="N374" s="163" t="str">
        <f>IF(OR(AND(N178&gt;0,O178="Registered Retirement Savings Plan (RRSP)"),AND(N177&gt;0,O177="Tax Free Savings Account (TFSA)")), CONCATENATE("- ",J374,"
"), "")</f>
        <v/>
      </c>
      <c r="O374" s="17"/>
      <c r="P374" s="17"/>
      <c r="Q374" s="17"/>
      <c r="R374" s="17"/>
      <c r="S374" s="17"/>
      <c r="T374" s="17"/>
      <c r="U374" s="17"/>
      <c r="V374" s="17"/>
      <c r="W374" s="17"/>
    </row>
    <row r="375" spans="1:23" s="7" customFormat="1" ht="15" x14ac:dyDescent="0.25">
      <c r="A375" s="118"/>
      <c r="B375" s="118"/>
      <c r="C375" s="118"/>
      <c r="D375" s="118"/>
      <c r="E375" s="118"/>
      <c r="F375" s="163"/>
      <c r="G375" s="224">
        <f t="shared" si="79"/>
        <v>0</v>
      </c>
      <c r="H375" s="219" t="s">
        <v>253</v>
      </c>
      <c r="I375" s="168"/>
      <c r="J375" s="219" t="s">
        <v>278</v>
      </c>
      <c r="K375" s="163"/>
      <c r="L375" s="163"/>
      <c r="M375" s="163"/>
      <c r="N375" s="163" t="str">
        <f>IF(AND(N179&gt;0,O179="Registered Education Savings Plan (RESP)"), CONCATENATE("- ",J375,"
"), "")</f>
        <v/>
      </c>
      <c r="O375" s="17"/>
      <c r="P375" s="17"/>
      <c r="Q375" s="17"/>
      <c r="R375" s="17"/>
      <c r="S375" s="17"/>
      <c r="T375" s="17"/>
      <c r="U375" s="17"/>
      <c r="V375" s="17"/>
      <c r="W375" s="17"/>
    </row>
    <row r="376" spans="1:23" s="7" customFormat="1" ht="15" x14ac:dyDescent="0.25">
      <c r="A376" s="118"/>
      <c r="B376" s="118"/>
      <c r="C376" s="118"/>
      <c r="D376" s="118"/>
      <c r="E376" s="118"/>
      <c r="F376" s="163"/>
      <c r="G376" s="168" t="e">
        <f>SUM(G339:G375)</f>
        <v>#DIV/0!</v>
      </c>
      <c r="H376" s="225" t="s">
        <v>313</v>
      </c>
      <c r="I376" s="225"/>
      <c r="J376" s="225" t="s">
        <v>314</v>
      </c>
      <c r="K376" s="225"/>
      <c r="L376" s="225"/>
      <c r="M376" s="225"/>
      <c r="N376" s="163" t="e">
        <f>IF(G376=0, CONCATENATE("- ",J376,"
"), "")</f>
        <v>#DIV/0!</v>
      </c>
      <c r="O376" s="17"/>
      <c r="P376" s="17"/>
      <c r="Q376" s="17"/>
      <c r="R376" s="17"/>
      <c r="S376" s="17"/>
      <c r="T376" s="17"/>
      <c r="U376" s="17"/>
      <c r="V376" s="17"/>
      <c r="W376" s="17"/>
    </row>
    <row r="377" spans="1:23" s="7" customFormat="1" x14ac:dyDescent="0.2">
      <c r="A377" s="118"/>
      <c r="B377" s="118"/>
      <c r="C377" s="118"/>
      <c r="D377" s="118"/>
      <c r="E377" s="118"/>
      <c r="F377" s="163"/>
      <c r="G377" s="163"/>
      <c r="H377" s="163"/>
      <c r="I377" s="163"/>
      <c r="J377" s="163"/>
      <c r="K377" s="163"/>
      <c r="L377" s="163"/>
      <c r="M377" s="163"/>
      <c r="N377" s="163"/>
      <c r="O377" s="17"/>
      <c r="P377" s="17"/>
      <c r="Q377" s="17"/>
      <c r="R377" s="17"/>
      <c r="S377" s="17"/>
      <c r="T377" s="17"/>
      <c r="U377" s="17"/>
      <c r="V377" s="17"/>
      <c r="W377" s="17"/>
    </row>
    <row r="378" spans="1:23" s="7" customFormat="1" x14ac:dyDescent="0.2">
      <c r="A378" s="118"/>
      <c r="B378" s="118"/>
      <c r="C378" s="118"/>
      <c r="D378" s="118"/>
      <c r="E378" s="118"/>
      <c r="F378" s="163"/>
      <c r="G378" s="163"/>
      <c r="H378" s="163"/>
      <c r="I378" s="163"/>
      <c r="J378" s="163"/>
      <c r="K378" s="163"/>
      <c r="L378" s="163"/>
      <c r="M378" s="163"/>
      <c r="N378" s="163"/>
      <c r="O378" s="17"/>
      <c r="P378" s="17"/>
      <c r="Q378" s="17"/>
      <c r="R378" s="17"/>
      <c r="S378" s="17"/>
      <c r="T378" s="17"/>
      <c r="U378" s="17"/>
      <c r="V378" s="17"/>
      <c r="W378" s="17"/>
    </row>
    <row r="379" spans="1:23" s="7" customFormat="1" x14ac:dyDescent="0.2">
      <c r="A379" s="118"/>
      <c r="B379" s="118"/>
      <c r="C379" s="118"/>
      <c r="D379" s="118"/>
      <c r="E379" s="118"/>
      <c r="F379" s="163"/>
      <c r="G379" s="163"/>
      <c r="H379" s="163"/>
      <c r="I379" s="163"/>
      <c r="J379" s="163"/>
      <c r="K379" s="163"/>
      <c r="L379" s="163"/>
      <c r="M379" s="163"/>
      <c r="N379" s="163"/>
      <c r="O379" s="17"/>
      <c r="P379" s="17"/>
      <c r="Q379" s="17"/>
      <c r="R379" s="17"/>
      <c r="S379" s="17"/>
      <c r="T379" s="17"/>
      <c r="U379" s="17"/>
      <c r="V379" s="17"/>
      <c r="W379" s="17"/>
    </row>
    <row r="380" spans="1:23" s="7" customFormat="1" ht="15" x14ac:dyDescent="0.25">
      <c r="A380" s="118"/>
      <c r="B380" s="118"/>
      <c r="C380" s="118"/>
      <c r="D380" s="118"/>
      <c r="E380" s="118"/>
      <c r="F380" s="163"/>
      <c r="G380" s="163"/>
      <c r="H380" s="163"/>
      <c r="I380" s="217"/>
      <c r="J380" s="217"/>
      <c r="K380" s="163"/>
      <c r="L380" s="163"/>
      <c r="M380" s="163"/>
      <c r="N380" s="163"/>
      <c r="O380" s="17"/>
      <c r="P380" s="17"/>
      <c r="Q380" s="17"/>
      <c r="R380" s="17"/>
      <c r="S380" s="17"/>
      <c r="T380" s="17"/>
      <c r="U380" s="17"/>
      <c r="V380" s="17"/>
      <c r="W380" s="17"/>
    </row>
    <row r="381" spans="1:23" s="7" customFormat="1" x14ac:dyDescent="0.2">
      <c r="A381" s="118"/>
      <c r="B381" s="118"/>
      <c r="C381" s="118"/>
      <c r="D381" s="118"/>
      <c r="E381" s="118"/>
      <c r="F381" s="163"/>
      <c r="G381" s="163"/>
      <c r="H381" s="163"/>
      <c r="I381" s="163"/>
      <c r="J381" s="163"/>
      <c r="K381" s="163"/>
      <c r="L381" s="163"/>
      <c r="M381" s="163"/>
      <c r="N381" s="163"/>
      <c r="O381" s="17"/>
      <c r="P381" s="17"/>
      <c r="Q381" s="17"/>
      <c r="R381" s="17"/>
      <c r="S381" s="17"/>
      <c r="T381" s="17"/>
      <c r="U381" s="17"/>
      <c r="V381" s="17"/>
      <c r="W381" s="17"/>
    </row>
    <row r="382" spans="1:23" s="7" customFormat="1" x14ac:dyDescent="0.2">
      <c r="A382" s="118"/>
      <c r="B382" s="118"/>
      <c r="C382" s="118"/>
      <c r="D382" s="118"/>
      <c r="E382" s="118"/>
      <c r="F382" s="163"/>
      <c r="G382" s="163"/>
      <c r="H382" s="163"/>
      <c r="I382" s="163"/>
      <c r="J382" s="163"/>
      <c r="K382" s="163"/>
      <c r="L382" s="163"/>
      <c r="M382" s="163"/>
      <c r="N382" s="163"/>
      <c r="O382" s="17"/>
      <c r="P382" s="17"/>
      <c r="Q382" s="17"/>
      <c r="R382" s="17"/>
      <c r="S382" s="17"/>
      <c r="T382" s="17"/>
      <c r="U382" s="17"/>
      <c r="V382" s="17"/>
      <c r="W382" s="17"/>
    </row>
    <row r="383" spans="1:23" s="7" customFormat="1" x14ac:dyDescent="0.2">
      <c r="A383" s="118"/>
      <c r="B383" s="118"/>
      <c r="C383" s="118"/>
      <c r="D383" s="118"/>
      <c r="E383" s="118"/>
      <c r="F383" s="163"/>
      <c r="G383" s="163"/>
      <c r="H383" s="163"/>
      <c r="I383" s="163"/>
      <c r="J383" s="163"/>
      <c r="K383" s="163"/>
      <c r="L383" s="163"/>
      <c r="M383" s="163"/>
      <c r="N383" s="163"/>
      <c r="O383" s="17"/>
      <c r="P383" s="17"/>
      <c r="Q383" s="17"/>
      <c r="R383" s="17"/>
      <c r="S383" s="17"/>
      <c r="T383" s="17"/>
      <c r="U383" s="17"/>
      <c r="V383" s="17"/>
      <c r="W383" s="17"/>
    </row>
    <row r="384" spans="1:23" s="7" customFormat="1" x14ac:dyDescent="0.2">
      <c r="A384" s="118"/>
      <c r="B384" s="118"/>
      <c r="C384" s="118"/>
      <c r="D384" s="118"/>
      <c r="E384" s="118"/>
      <c r="F384" s="163"/>
      <c r="G384" s="163"/>
      <c r="H384" s="163"/>
      <c r="I384" s="163"/>
      <c r="J384" s="163"/>
      <c r="K384" s="163"/>
      <c r="L384" s="163"/>
      <c r="M384" s="163"/>
      <c r="N384" s="163"/>
      <c r="O384" s="17"/>
      <c r="P384" s="17"/>
      <c r="Q384" s="17"/>
      <c r="R384" s="17"/>
      <c r="S384" s="17"/>
      <c r="T384" s="17"/>
      <c r="U384" s="17"/>
      <c r="V384" s="17"/>
      <c r="W384" s="17"/>
    </row>
    <row r="385" spans="1:23" s="7" customFormat="1" x14ac:dyDescent="0.2">
      <c r="A385" s="118"/>
      <c r="B385" s="118"/>
      <c r="C385" s="118"/>
      <c r="D385" s="118"/>
      <c r="E385" s="118"/>
      <c r="F385" s="163"/>
      <c r="G385" s="163"/>
      <c r="H385" s="163"/>
      <c r="I385" s="163"/>
      <c r="J385" s="163"/>
      <c r="K385" s="163"/>
      <c r="L385" s="163"/>
      <c r="M385" s="163"/>
      <c r="N385" s="163"/>
      <c r="O385" s="17"/>
      <c r="P385" s="17"/>
      <c r="Q385" s="17"/>
      <c r="R385" s="17"/>
      <c r="S385" s="17"/>
      <c r="T385" s="17"/>
      <c r="U385" s="17"/>
      <c r="V385" s="17"/>
      <c r="W385" s="17"/>
    </row>
    <row r="386" spans="1:23" s="7" customFormat="1" x14ac:dyDescent="0.2">
      <c r="A386" s="118"/>
      <c r="B386" s="118"/>
      <c r="C386" s="118"/>
      <c r="D386" s="118"/>
      <c r="E386" s="118"/>
      <c r="F386" s="163"/>
      <c r="G386" s="163"/>
      <c r="H386" s="163"/>
      <c r="I386" s="163"/>
      <c r="J386" s="163"/>
      <c r="K386" s="163"/>
      <c r="L386" s="163"/>
      <c r="M386" s="163"/>
      <c r="N386" s="163"/>
      <c r="O386" s="17"/>
      <c r="P386" s="17"/>
      <c r="Q386" s="17"/>
      <c r="R386" s="17"/>
      <c r="S386" s="17"/>
      <c r="T386" s="17"/>
      <c r="U386" s="17"/>
      <c r="V386" s="17"/>
      <c r="W386" s="17"/>
    </row>
    <row r="387" spans="1:23" s="7" customFormat="1" x14ac:dyDescent="0.2">
      <c r="A387" s="118"/>
      <c r="B387" s="118"/>
      <c r="C387" s="118"/>
      <c r="D387" s="118"/>
      <c r="E387" s="118"/>
      <c r="F387" s="163"/>
      <c r="G387" s="163"/>
      <c r="H387" s="163"/>
      <c r="I387" s="163"/>
      <c r="J387" s="163"/>
      <c r="K387" s="163"/>
      <c r="L387" s="163"/>
      <c r="M387" s="163"/>
      <c r="N387" s="163"/>
      <c r="O387" s="17"/>
      <c r="P387" s="17"/>
      <c r="Q387" s="17"/>
      <c r="R387" s="17"/>
      <c r="S387" s="17"/>
      <c r="T387" s="17"/>
      <c r="U387" s="17"/>
      <c r="V387" s="17"/>
      <c r="W387" s="17"/>
    </row>
    <row r="388" spans="1:23" s="7" customFormat="1" x14ac:dyDescent="0.2">
      <c r="A388" s="118"/>
      <c r="B388" s="118"/>
      <c r="C388" s="118"/>
      <c r="D388" s="118"/>
      <c r="E388" s="118"/>
      <c r="F388" s="163"/>
      <c r="G388" s="163"/>
      <c r="H388" s="163"/>
      <c r="I388" s="163"/>
      <c r="J388" s="163"/>
      <c r="K388" s="163"/>
      <c r="L388" s="163"/>
      <c r="M388" s="163"/>
      <c r="N388" s="163"/>
      <c r="O388" s="17"/>
      <c r="P388" s="17"/>
      <c r="Q388" s="17"/>
      <c r="R388" s="17"/>
      <c r="S388" s="17"/>
      <c r="T388" s="17"/>
      <c r="U388" s="17"/>
      <c r="V388" s="17"/>
      <c r="W388" s="17"/>
    </row>
    <row r="389" spans="1:23" s="7" customFormat="1" x14ac:dyDescent="0.2">
      <c r="A389" s="118"/>
      <c r="B389" s="118"/>
      <c r="C389" s="118"/>
      <c r="D389" s="118"/>
      <c r="E389" s="118"/>
      <c r="F389" s="163"/>
      <c r="G389" s="163"/>
      <c r="H389" s="163"/>
      <c r="I389" s="163"/>
      <c r="J389" s="163"/>
      <c r="K389" s="163"/>
      <c r="L389" s="163"/>
      <c r="M389" s="163"/>
      <c r="N389" s="163"/>
      <c r="O389" s="17"/>
      <c r="P389" s="17"/>
      <c r="Q389" s="17"/>
      <c r="R389" s="17"/>
      <c r="S389" s="17"/>
      <c r="T389" s="17"/>
      <c r="U389" s="17"/>
      <c r="V389" s="17"/>
      <c r="W389" s="17"/>
    </row>
    <row r="390" spans="1:23" s="7" customFormat="1" x14ac:dyDescent="0.2">
      <c r="A390" s="118"/>
      <c r="B390" s="118"/>
      <c r="C390" s="118"/>
      <c r="D390" s="118"/>
      <c r="E390" s="118"/>
      <c r="F390" s="163"/>
      <c r="G390" s="163"/>
      <c r="H390" s="163"/>
      <c r="I390" s="163"/>
      <c r="J390" s="163"/>
      <c r="K390" s="163"/>
      <c r="L390" s="163"/>
      <c r="M390" s="163"/>
      <c r="N390" s="163"/>
      <c r="O390" s="17"/>
      <c r="P390" s="17"/>
      <c r="Q390" s="17"/>
      <c r="R390" s="17"/>
      <c r="S390" s="17"/>
      <c r="T390" s="17"/>
      <c r="U390" s="17"/>
      <c r="V390" s="17"/>
      <c r="W390" s="17"/>
    </row>
    <row r="391" spans="1:23" s="7" customFormat="1" x14ac:dyDescent="0.2">
      <c r="A391" s="118"/>
      <c r="B391" s="118"/>
      <c r="C391" s="118"/>
      <c r="D391" s="118"/>
      <c r="E391" s="118"/>
      <c r="F391" s="163"/>
      <c r="G391" s="163"/>
      <c r="H391" s="163"/>
      <c r="I391" s="163"/>
      <c r="J391" s="163"/>
      <c r="K391" s="163"/>
      <c r="L391" s="163"/>
      <c r="M391" s="163"/>
      <c r="N391" s="163"/>
      <c r="O391" s="17"/>
      <c r="P391" s="17"/>
      <c r="Q391" s="17"/>
      <c r="R391" s="17"/>
      <c r="S391" s="17"/>
      <c r="T391" s="17"/>
      <c r="U391" s="17"/>
      <c r="V391" s="17"/>
      <c r="W391" s="17"/>
    </row>
    <row r="392" spans="1:23" s="7" customFormat="1" x14ac:dyDescent="0.2">
      <c r="A392" s="118"/>
      <c r="B392" s="118"/>
      <c r="C392" s="118"/>
      <c r="D392" s="118"/>
      <c r="E392" s="118"/>
      <c r="F392" s="163"/>
      <c r="G392" s="163"/>
      <c r="H392" s="163"/>
      <c r="I392" s="163"/>
      <c r="J392" s="163"/>
      <c r="K392" s="163"/>
      <c r="L392" s="163"/>
      <c r="M392" s="163"/>
      <c r="N392" s="163"/>
      <c r="O392" s="17"/>
      <c r="P392" s="17"/>
      <c r="Q392" s="17"/>
      <c r="R392" s="17"/>
      <c r="S392" s="17"/>
      <c r="T392" s="17"/>
      <c r="U392" s="17"/>
      <c r="V392" s="17"/>
      <c r="W392" s="17"/>
    </row>
    <row r="393" spans="1:23" s="7" customFormat="1" x14ac:dyDescent="0.2">
      <c r="A393" s="118"/>
      <c r="B393" s="118"/>
      <c r="C393" s="118"/>
      <c r="D393" s="118"/>
      <c r="E393" s="118"/>
      <c r="F393" s="163"/>
      <c r="G393" s="163"/>
      <c r="H393" s="163"/>
      <c r="I393" s="163"/>
      <c r="J393" s="163"/>
      <c r="K393" s="163"/>
      <c r="L393" s="163"/>
      <c r="M393" s="163"/>
      <c r="N393" s="163"/>
      <c r="O393" s="17"/>
      <c r="P393" s="17"/>
      <c r="Q393" s="17"/>
      <c r="R393" s="17"/>
      <c r="S393" s="17"/>
      <c r="T393" s="17"/>
      <c r="U393" s="17"/>
      <c r="V393" s="17"/>
      <c r="W393" s="17"/>
    </row>
    <row r="394" spans="1:23" s="7" customFormat="1" x14ac:dyDescent="0.2">
      <c r="A394" s="118"/>
      <c r="B394" s="118"/>
      <c r="C394" s="118"/>
      <c r="D394" s="118"/>
      <c r="E394" s="118"/>
      <c r="F394" s="163"/>
      <c r="G394" s="163"/>
      <c r="H394" s="163"/>
      <c r="I394" s="163"/>
      <c r="J394" s="163"/>
      <c r="K394" s="163"/>
      <c r="L394" s="163"/>
      <c r="M394" s="163"/>
      <c r="N394" s="163"/>
      <c r="O394" s="17"/>
      <c r="P394" s="17"/>
      <c r="Q394" s="17"/>
      <c r="R394" s="17"/>
      <c r="S394" s="17"/>
      <c r="T394" s="17"/>
      <c r="U394" s="17"/>
      <c r="V394" s="17"/>
      <c r="W394" s="17"/>
    </row>
    <row r="395" spans="1:23" s="7" customFormat="1" x14ac:dyDescent="0.2">
      <c r="A395" s="118"/>
      <c r="B395" s="118"/>
      <c r="C395" s="118"/>
      <c r="D395" s="118"/>
      <c r="E395" s="118"/>
      <c r="F395" s="163"/>
      <c r="G395" s="163"/>
      <c r="H395" s="163"/>
      <c r="I395" s="163"/>
      <c r="J395" s="163"/>
      <c r="K395" s="163"/>
      <c r="L395" s="163"/>
      <c r="M395" s="163"/>
      <c r="N395" s="163"/>
      <c r="O395" s="17"/>
      <c r="P395" s="17"/>
      <c r="Q395" s="17"/>
      <c r="R395" s="17"/>
      <c r="S395" s="17"/>
      <c r="T395" s="17"/>
      <c r="U395" s="17"/>
      <c r="V395" s="17"/>
      <c r="W395" s="17"/>
    </row>
    <row r="396" spans="1:23" s="7" customFormat="1" x14ac:dyDescent="0.2">
      <c r="A396" s="118"/>
      <c r="B396" s="118"/>
      <c r="C396" s="118"/>
      <c r="D396" s="118"/>
      <c r="E396" s="118"/>
      <c r="F396" s="163"/>
      <c r="G396" s="163"/>
      <c r="H396" s="163"/>
      <c r="I396" s="163"/>
      <c r="J396" s="163"/>
      <c r="K396" s="163"/>
      <c r="L396" s="163"/>
      <c r="M396" s="163"/>
      <c r="N396" s="163"/>
      <c r="O396" s="17"/>
      <c r="P396" s="17"/>
      <c r="Q396" s="17"/>
      <c r="R396" s="17"/>
      <c r="S396" s="17"/>
      <c r="T396" s="17"/>
      <c r="U396" s="17"/>
      <c r="V396" s="17"/>
      <c r="W396" s="17"/>
    </row>
    <row r="397" spans="1:23" s="7" customFormat="1" x14ac:dyDescent="0.2">
      <c r="A397" s="118"/>
      <c r="B397" s="118"/>
      <c r="C397" s="118"/>
      <c r="D397" s="118"/>
      <c r="E397" s="118"/>
      <c r="F397" s="163"/>
      <c r="G397" s="163"/>
      <c r="H397" s="163"/>
      <c r="I397" s="163"/>
      <c r="J397" s="163"/>
      <c r="K397" s="163"/>
      <c r="L397" s="163"/>
      <c r="M397" s="163"/>
      <c r="N397" s="163"/>
      <c r="O397" s="17"/>
      <c r="P397" s="17"/>
      <c r="Q397" s="17"/>
      <c r="R397" s="17"/>
      <c r="S397" s="17"/>
      <c r="T397" s="17"/>
      <c r="U397" s="17"/>
      <c r="V397" s="17"/>
      <c r="W397" s="17"/>
    </row>
    <row r="398" spans="1:23" s="7" customFormat="1" x14ac:dyDescent="0.2">
      <c r="A398" s="118"/>
      <c r="B398" s="118"/>
      <c r="C398" s="118"/>
      <c r="D398" s="118"/>
      <c r="E398" s="118"/>
      <c r="F398" s="163"/>
      <c r="G398" s="163"/>
      <c r="H398" s="163"/>
      <c r="I398" s="163"/>
      <c r="J398" s="163"/>
      <c r="K398" s="163"/>
      <c r="L398" s="163"/>
      <c r="M398" s="163"/>
      <c r="N398" s="163"/>
      <c r="O398" s="17"/>
      <c r="P398" s="17"/>
      <c r="Q398" s="17"/>
      <c r="R398" s="17"/>
      <c r="S398" s="17"/>
      <c r="T398" s="17"/>
      <c r="U398" s="17"/>
      <c r="V398" s="17"/>
      <c r="W398" s="17"/>
    </row>
    <row r="399" spans="1:23" s="7" customFormat="1" x14ac:dyDescent="0.2">
      <c r="A399" s="118"/>
      <c r="B399" s="118"/>
      <c r="C399" s="118"/>
      <c r="D399" s="118"/>
      <c r="E399" s="118"/>
      <c r="F399" s="163"/>
      <c r="G399" s="163"/>
      <c r="H399" s="163"/>
      <c r="I399" s="163"/>
      <c r="J399" s="163"/>
      <c r="K399" s="163"/>
      <c r="L399" s="163"/>
      <c r="M399" s="163"/>
      <c r="N399" s="163"/>
      <c r="O399" s="17"/>
      <c r="P399" s="17"/>
      <c r="Q399" s="17"/>
      <c r="R399" s="17"/>
      <c r="S399" s="17"/>
      <c r="T399" s="17"/>
      <c r="U399" s="17"/>
      <c r="V399" s="17"/>
      <c r="W399" s="17"/>
    </row>
    <row r="400" spans="1:23" s="7" customFormat="1" x14ac:dyDescent="0.2">
      <c r="A400" s="118"/>
      <c r="B400" s="118"/>
      <c r="C400" s="118"/>
      <c r="D400" s="118"/>
      <c r="E400" s="118"/>
      <c r="F400" s="163"/>
      <c r="G400" s="163"/>
      <c r="H400" s="163"/>
      <c r="I400" s="163"/>
      <c r="J400" s="163"/>
      <c r="K400" s="163"/>
      <c r="L400" s="163"/>
      <c r="M400" s="163"/>
      <c r="N400" s="163"/>
      <c r="O400" s="17"/>
      <c r="P400" s="17"/>
      <c r="Q400" s="17"/>
      <c r="R400" s="17"/>
      <c r="S400" s="17"/>
      <c r="T400" s="17"/>
      <c r="U400" s="17"/>
      <c r="V400" s="17"/>
      <c r="W400" s="17"/>
    </row>
  </sheetData>
  <sheetProtection password="F49C" sheet="1" objects="1" scenarios="1" formatCells="0" formatColumns="0" formatRows="0" insertColumns="0" insertRows="0" insertHyperlinks="0" deleteColumns="0" deleteRows="0" selectLockedCells="1" sort="0" autoFilter="0" pivotTables="0"/>
  <mergeCells count="627">
    <mergeCell ref="O86:S86"/>
    <mergeCell ref="O91:S91"/>
    <mergeCell ref="O94:S94"/>
    <mergeCell ref="O95:S95"/>
    <mergeCell ref="O96:S96"/>
    <mergeCell ref="T108:U108"/>
    <mergeCell ref="V113:W113"/>
    <mergeCell ref="O107:S107"/>
    <mergeCell ref="O92:S92"/>
    <mergeCell ref="O109:X109"/>
    <mergeCell ref="O113:S113"/>
    <mergeCell ref="O93:S93"/>
    <mergeCell ref="T101:U101"/>
    <mergeCell ref="T104:U104"/>
    <mergeCell ref="V101:W101"/>
    <mergeCell ref="V99:W99"/>
    <mergeCell ref="T116:U116"/>
    <mergeCell ref="O117:S117"/>
    <mergeCell ref="T117:U117"/>
    <mergeCell ref="O89:S89"/>
    <mergeCell ref="O90:S90"/>
    <mergeCell ref="V115:W115"/>
    <mergeCell ref="O118:S118"/>
    <mergeCell ref="V107:W107"/>
    <mergeCell ref="AA91:AH93"/>
    <mergeCell ref="AA113:AH118"/>
    <mergeCell ref="W108:X108"/>
    <mergeCell ref="V104:W104"/>
    <mergeCell ref="O110:X110"/>
    <mergeCell ref="T103:U103"/>
    <mergeCell ref="T102:U102"/>
    <mergeCell ref="V103:W103"/>
    <mergeCell ref="V94:W94"/>
    <mergeCell ref="T94:U94"/>
    <mergeCell ref="O121:S121"/>
    <mergeCell ref="T121:U121"/>
    <mergeCell ref="AA87:AH89"/>
    <mergeCell ref="W96:X96"/>
    <mergeCell ref="T99:U99"/>
    <mergeCell ref="O98:X98"/>
    <mergeCell ref="V90:W90"/>
    <mergeCell ref="T93:U93"/>
    <mergeCell ref="O88:S88"/>
    <mergeCell ref="O87:S87"/>
    <mergeCell ref="V93:W93"/>
    <mergeCell ref="V87:W87"/>
    <mergeCell ref="V88:W88"/>
    <mergeCell ref="T87:U87"/>
    <mergeCell ref="T88:U88"/>
    <mergeCell ref="T89:U89"/>
    <mergeCell ref="V95:W95"/>
    <mergeCell ref="O114:S114"/>
    <mergeCell ref="T113:U113"/>
    <mergeCell ref="T96:U96"/>
    <mergeCell ref="V80:W80"/>
    <mergeCell ref="V91:W91"/>
    <mergeCell ref="V102:W102"/>
    <mergeCell ref="V84:W84"/>
    <mergeCell ref="T84:U84"/>
    <mergeCell ref="T86:U86"/>
    <mergeCell ref="T90:U90"/>
    <mergeCell ref="V89:W89"/>
    <mergeCell ref="T92:U92"/>
    <mergeCell ref="X1:AH1"/>
    <mergeCell ref="Y4:Y5"/>
    <mergeCell ref="T38:U38"/>
    <mergeCell ref="T15:U15"/>
    <mergeCell ref="O21:S21"/>
    <mergeCell ref="T79:U79"/>
    <mergeCell ref="O68:S68"/>
    <mergeCell ref="O69:S69"/>
    <mergeCell ref="O56:S56"/>
    <mergeCell ref="O57:S57"/>
    <mergeCell ref="O70:S70"/>
    <mergeCell ref="O61:S61"/>
    <mergeCell ref="V62:W62"/>
    <mergeCell ref="V63:W63"/>
    <mergeCell ref="V64:W64"/>
    <mergeCell ref="V67:W67"/>
    <mergeCell ref="V68:W68"/>
    <mergeCell ref="O73:X73"/>
    <mergeCell ref="O59:X59"/>
    <mergeCell ref="T77:U77"/>
    <mergeCell ref="T78:U78"/>
    <mergeCell ref="AH74:AH75"/>
    <mergeCell ref="AH77:AH78"/>
    <mergeCell ref="AH68:AH70"/>
    <mergeCell ref="X4:X6"/>
    <mergeCell ref="V25:W25"/>
    <mergeCell ref="T51:U51"/>
    <mergeCell ref="T52:U52"/>
    <mergeCell ref="O63:S63"/>
    <mergeCell ref="O64:S64"/>
    <mergeCell ref="O65:S65"/>
    <mergeCell ref="O43:S43"/>
    <mergeCell ref="O45:S45"/>
    <mergeCell ref="V52:W52"/>
    <mergeCell ref="V46:W46"/>
    <mergeCell ref="V56:W56"/>
    <mergeCell ref="V49:W49"/>
    <mergeCell ref="T44:U44"/>
    <mergeCell ref="V47:W47"/>
    <mergeCell ref="V48:W48"/>
    <mergeCell ref="O44:S44"/>
    <mergeCell ref="V65:W65"/>
    <mergeCell ref="V45:W45"/>
    <mergeCell ref="V61:W61"/>
    <mergeCell ref="O51:S51"/>
    <mergeCell ref="O52:S52"/>
    <mergeCell ref="O23:S23"/>
    <mergeCell ref="T34:U34"/>
    <mergeCell ref="AO1:AP1"/>
    <mergeCell ref="T47:U47"/>
    <mergeCell ref="T48:U48"/>
    <mergeCell ref="O39:X39"/>
    <mergeCell ref="T3:W3"/>
    <mergeCell ref="T2:W2"/>
    <mergeCell ref="V21:W21"/>
    <mergeCell ref="V22:W22"/>
    <mergeCell ref="V23:W23"/>
    <mergeCell ref="V15:W15"/>
    <mergeCell ref="T16:U16"/>
    <mergeCell ref="T17:U17"/>
    <mergeCell ref="T18:U18"/>
    <mergeCell ref="T19:U19"/>
    <mergeCell ref="T20:U20"/>
    <mergeCell ref="U10:X10"/>
    <mergeCell ref="T45:U45"/>
    <mergeCell ref="V19:W19"/>
    <mergeCell ref="V20:W20"/>
    <mergeCell ref="T37:U37"/>
    <mergeCell ref="T4:W4"/>
    <mergeCell ref="T6:W6"/>
    <mergeCell ref="AA173:AH174"/>
    <mergeCell ref="AA172:AH172"/>
    <mergeCell ref="T41:U41"/>
    <mergeCell ref="T5:W5"/>
    <mergeCell ref="T7:W7"/>
    <mergeCell ref="V16:W16"/>
    <mergeCell ref="O14:X14"/>
    <mergeCell ref="V18:W18"/>
    <mergeCell ref="T21:U21"/>
    <mergeCell ref="O19:S19"/>
    <mergeCell ref="U11:X12"/>
    <mergeCell ref="T22:U22"/>
    <mergeCell ref="O20:S20"/>
    <mergeCell ref="V17:W17"/>
    <mergeCell ref="O17:S17"/>
    <mergeCell ref="O18:S18"/>
    <mergeCell ref="O22:S22"/>
    <mergeCell ref="T8:Y8"/>
    <mergeCell ref="T35:U35"/>
    <mergeCell ref="T25:U25"/>
    <mergeCell ref="T24:U24"/>
    <mergeCell ref="V35:X35"/>
    <mergeCell ref="T23:U23"/>
    <mergeCell ref="O25:P25"/>
    <mergeCell ref="AA207:AH207"/>
    <mergeCell ref="V150:W150"/>
    <mergeCell ref="V149:W149"/>
    <mergeCell ref="V183:W183"/>
    <mergeCell ref="V170:W170"/>
    <mergeCell ref="V171:W171"/>
    <mergeCell ref="V167:W167"/>
    <mergeCell ref="V140:W140"/>
    <mergeCell ref="O46:S46"/>
    <mergeCell ref="O47:S47"/>
    <mergeCell ref="O48:S48"/>
    <mergeCell ref="V66:W66"/>
    <mergeCell ref="V55:W55"/>
    <mergeCell ref="T70:U70"/>
    <mergeCell ref="T57:U57"/>
    <mergeCell ref="T61:U61"/>
    <mergeCell ref="AH62:AH65"/>
    <mergeCell ref="AA57:AH58"/>
    <mergeCell ref="AA53:AH53"/>
    <mergeCell ref="O53:S53"/>
    <mergeCell ref="T80:U80"/>
    <mergeCell ref="T81:U81"/>
    <mergeCell ref="W81:X81"/>
    <mergeCell ref="T106:U106"/>
    <mergeCell ref="AA240:AH240"/>
    <mergeCell ref="AA203:AH203"/>
    <mergeCell ref="T165:U165"/>
    <mergeCell ref="T140:U140"/>
    <mergeCell ref="T133:U133"/>
    <mergeCell ref="AA223:AH223"/>
    <mergeCell ref="O173:X173"/>
    <mergeCell ref="O185:X185"/>
    <mergeCell ref="T154:U154"/>
    <mergeCell ref="V134:W134"/>
    <mergeCell ref="V146:W146"/>
    <mergeCell ref="V133:W133"/>
    <mergeCell ref="V135:W135"/>
    <mergeCell ref="AA208:AH208"/>
    <mergeCell ref="V147:W147"/>
    <mergeCell ref="V144:W144"/>
    <mergeCell ref="V148:W148"/>
    <mergeCell ref="AA204:AH206"/>
    <mergeCell ref="T146:U146"/>
    <mergeCell ref="T155:U155"/>
    <mergeCell ref="T156:U156"/>
    <mergeCell ref="V153:W153"/>
    <mergeCell ref="V152:W152"/>
    <mergeCell ref="T150:U150"/>
    <mergeCell ref="AA175:AH176"/>
    <mergeCell ref="T171:U171"/>
    <mergeCell ref="O166:S166"/>
    <mergeCell ref="O167:S167"/>
    <mergeCell ref="AA110:AH110"/>
    <mergeCell ref="O101:S101"/>
    <mergeCell ref="O102:S102"/>
    <mergeCell ref="O103:S103"/>
    <mergeCell ref="O104:S104"/>
    <mergeCell ref="O105:S105"/>
    <mergeCell ref="O106:S106"/>
    <mergeCell ref="T144:U144"/>
    <mergeCell ref="V145:W145"/>
    <mergeCell ref="V143:W143"/>
    <mergeCell ref="T105:U105"/>
    <mergeCell ref="V122:W122"/>
    <mergeCell ref="V123:W123"/>
    <mergeCell ref="V124:W124"/>
    <mergeCell ref="AA120:AH124"/>
    <mergeCell ref="AA119:AH119"/>
    <mergeCell ref="V121:W121"/>
    <mergeCell ref="T162:U162"/>
    <mergeCell ref="V151:W151"/>
    <mergeCell ref="T161:U161"/>
    <mergeCell ref="T151:U151"/>
    <mergeCell ref="T270:W270"/>
    <mergeCell ref="T259:U259"/>
    <mergeCell ref="T261:U261"/>
    <mergeCell ref="T262:U262"/>
    <mergeCell ref="T263:U263"/>
    <mergeCell ref="T258:U258"/>
    <mergeCell ref="V263:W263"/>
    <mergeCell ref="V264:W264"/>
    <mergeCell ref="T260:U260"/>
    <mergeCell ref="O269:X269"/>
    <mergeCell ref="O193:Q193"/>
    <mergeCell ref="O198:Q198"/>
    <mergeCell ref="X254:X255"/>
    <mergeCell ref="O159:S159"/>
    <mergeCell ref="O154:S154"/>
    <mergeCell ref="O155:S155"/>
    <mergeCell ref="O157:S157"/>
    <mergeCell ref="O240:X240"/>
    <mergeCell ref="V189:W189"/>
    <mergeCell ref="V190:W190"/>
    <mergeCell ref="T202:U202"/>
    <mergeCell ref="W203:X203"/>
    <mergeCell ref="O211:U213"/>
    <mergeCell ref="J242:K242"/>
    <mergeCell ref="V116:W116"/>
    <mergeCell ref="V117:W117"/>
    <mergeCell ref="V118:W118"/>
    <mergeCell ref="O215:X238"/>
    <mergeCell ref="O239:X239"/>
    <mergeCell ref="O204:X204"/>
    <mergeCell ref="T187:U187"/>
    <mergeCell ref="T176:U176"/>
    <mergeCell ref="T123:U123"/>
    <mergeCell ref="T124:U124"/>
    <mergeCell ref="V168:W168"/>
    <mergeCell ref="V169:W169"/>
    <mergeCell ref="V158:W158"/>
    <mergeCell ref="V157:W157"/>
    <mergeCell ref="V156:W156"/>
    <mergeCell ref="T119:U119"/>
    <mergeCell ref="O180:S180"/>
    <mergeCell ref="T149:U149"/>
    <mergeCell ref="O199:Q199"/>
    <mergeCell ref="O200:Q200"/>
    <mergeCell ref="O201:Q201"/>
    <mergeCell ref="O202:Q202"/>
    <mergeCell ref="R188:S188"/>
    <mergeCell ref="R198:S198"/>
    <mergeCell ref="R197:S197"/>
    <mergeCell ref="T203:U203"/>
    <mergeCell ref="V202:W202"/>
    <mergeCell ref="O203:S203"/>
    <mergeCell ref="R199:S199"/>
    <mergeCell ref="R200:S200"/>
    <mergeCell ref="R201:S201"/>
    <mergeCell ref="R202:S202"/>
    <mergeCell ref="O197:Q197"/>
    <mergeCell ref="V199:W199"/>
    <mergeCell ref="T201:U201"/>
    <mergeCell ref="V200:W200"/>
    <mergeCell ref="V201:W201"/>
    <mergeCell ref="T200:U200"/>
    <mergeCell ref="T198:U198"/>
    <mergeCell ref="V197:W197"/>
    <mergeCell ref="V198:W198"/>
    <mergeCell ref="T191:U191"/>
    <mergeCell ref="T192:U192"/>
    <mergeCell ref="V196:W196"/>
    <mergeCell ref="T199:U199"/>
    <mergeCell ref="V194:W194"/>
    <mergeCell ref="V195:W195"/>
    <mergeCell ref="T195:U195"/>
    <mergeCell ref="T196:U196"/>
    <mergeCell ref="T197:U197"/>
    <mergeCell ref="V192:W192"/>
    <mergeCell ref="V193:W193"/>
    <mergeCell ref="V258:W258"/>
    <mergeCell ref="O245:X252"/>
    <mergeCell ref="O205:S205"/>
    <mergeCell ref="O206:S206"/>
    <mergeCell ref="T264:U264"/>
    <mergeCell ref="V260:W260"/>
    <mergeCell ref="V261:W261"/>
    <mergeCell ref="V262:W262"/>
    <mergeCell ref="W205:X205"/>
    <mergeCell ref="W206:X206"/>
    <mergeCell ref="O208:U210"/>
    <mergeCell ref="T206:U206"/>
    <mergeCell ref="O254:O255"/>
    <mergeCell ref="T255:U255"/>
    <mergeCell ref="V255:W255"/>
    <mergeCell ref="T254:U254"/>
    <mergeCell ref="V259:W259"/>
    <mergeCell ref="T257:U257"/>
    <mergeCell ref="V257:W257"/>
    <mergeCell ref="V256:W256"/>
    <mergeCell ref="T256:U256"/>
    <mergeCell ref="O214:X214"/>
    <mergeCell ref="V254:W254"/>
    <mergeCell ref="T205:U205"/>
    <mergeCell ref="R195:S195"/>
    <mergeCell ref="R196:S196"/>
    <mergeCell ref="R191:S191"/>
    <mergeCell ref="R192:S192"/>
    <mergeCell ref="R193:S193"/>
    <mergeCell ref="R194:S194"/>
    <mergeCell ref="O174:X174"/>
    <mergeCell ref="R189:S189"/>
    <mergeCell ref="V161:W161"/>
    <mergeCell ref="V162:W162"/>
    <mergeCell ref="T194:U194"/>
    <mergeCell ref="V188:W188"/>
    <mergeCell ref="V163:W163"/>
    <mergeCell ref="T179:U179"/>
    <mergeCell ref="O188:Q188"/>
    <mergeCell ref="T188:U188"/>
    <mergeCell ref="O176:S176"/>
    <mergeCell ref="O182:S182"/>
    <mergeCell ref="O196:Q196"/>
    <mergeCell ref="V191:W191"/>
    <mergeCell ref="O195:Q195"/>
    <mergeCell ref="O194:Q194"/>
    <mergeCell ref="O165:S165"/>
    <mergeCell ref="T172:U172"/>
    <mergeCell ref="O171:S171"/>
    <mergeCell ref="W172:X172"/>
    <mergeCell ref="O164:S164"/>
    <mergeCell ref="O192:Q192"/>
    <mergeCell ref="O161:S161"/>
    <mergeCell ref="O162:S162"/>
    <mergeCell ref="O163:S163"/>
    <mergeCell ref="O190:Q190"/>
    <mergeCell ref="O191:Q191"/>
    <mergeCell ref="V166:W166"/>
    <mergeCell ref="T182:U182"/>
    <mergeCell ref="V182:W182"/>
    <mergeCell ref="V180:W180"/>
    <mergeCell ref="T178:U178"/>
    <mergeCell ref="T177:U177"/>
    <mergeCell ref="O186:X186"/>
    <mergeCell ref="T184:U184"/>
    <mergeCell ref="W184:X184"/>
    <mergeCell ref="O181:S181"/>
    <mergeCell ref="V179:W179"/>
    <mergeCell ref="V176:W176"/>
    <mergeCell ref="O175:X175"/>
    <mergeCell ref="T170:U170"/>
    <mergeCell ref="T166:U166"/>
    <mergeCell ref="O183:S183"/>
    <mergeCell ref="T167:U167"/>
    <mergeCell ref="T168:U168"/>
    <mergeCell ref="O178:S178"/>
    <mergeCell ref="O177:S177"/>
    <mergeCell ref="O179:S179"/>
    <mergeCell ref="V177:W177"/>
    <mergeCell ref="V178:W178"/>
    <mergeCell ref="V181:W181"/>
    <mergeCell ref="T193:U193"/>
    <mergeCell ref="T189:U189"/>
    <mergeCell ref="O189:Q189"/>
    <mergeCell ref="T190:U190"/>
    <mergeCell ref="O187:S187"/>
    <mergeCell ref="T169:U169"/>
    <mergeCell ref="O168:S168"/>
    <mergeCell ref="O169:S169"/>
    <mergeCell ref="O170:S170"/>
    <mergeCell ref="T180:U180"/>
    <mergeCell ref="T181:U181"/>
    <mergeCell ref="T183:U183"/>
    <mergeCell ref="R190:S190"/>
    <mergeCell ref="O172:S172"/>
    <mergeCell ref="T160:U160"/>
    <mergeCell ref="T157:U157"/>
    <mergeCell ref="T158:U158"/>
    <mergeCell ref="V165:W165"/>
    <mergeCell ref="V159:W159"/>
    <mergeCell ref="V155:W155"/>
    <mergeCell ref="T159:U159"/>
    <mergeCell ref="T152:U152"/>
    <mergeCell ref="T153:U153"/>
    <mergeCell ref="V154:W154"/>
    <mergeCell ref="T164:U164"/>
    <mergeCell ref="V160:W160"/>
    <mergeCell ref="V164:W164"/>
    <mergeCell ref="T163:U163"/>
    <mergeCell ref="O100:S100"/>
    <mergeCell ref="T95:U95"/>
    <mergeCell ref="O37:S37"/>
    <mergeCell ref="V187:W187"/>
    <mergeCell ref="T54:U54"/>
    <mergeCell ref="T55:U55"/>
    <mergeCell ref="V53:W53"/>
    <mergeCell ref="V54:W54"/>
    <mergeCell ref="T75:U75"/>
    <mergeCell ref="T76:U76"/>
    <mergeCell ref="W70:X70"/>
    <mergeCell ref="T56:U56"/>
    <mergeCell ref="T69:U69"/>
    <mergeCell ref="T60:U60"/>
    <mergeCell ref="T64:U64"/>
    <mergeCell ref="T65:U65"/>
    <mergeCell ref="T63:U63"/>
    <mergeCell ref="T66:U66"/>
    <mergeCell ref="V75:W75"/>
    <mergeCell ref="V76:W76"/>
    <mergeCell ref="W57:X57"/>
    <mergeCell ref="T53:U53"/>
    <mergeCell ref="T145:U145"/>
    <mergeCell ref="O136:S136"/>
    <mergeCell ref="O1:S1"/>
    <mergeCell ref="R24:S24"/>
    <mergeCell ref="O15:S15"/>
    <mergeCell ref="O41:S41"/>
    <mergeCell ref="O60:S60"/>
    <mergeCell ref="O84:S84"/>
    <mergeCell ref="O99:S99"/>
    <mergeCell ref="O16:S16"/>
    <mergeCell ref="O85:S85"/>
    <mergeCell ref="O81:S81"/>
    <mergeCell ref="O49:S49"/>
    <mergeCell ref="O50:S50"/>
    <mergeCell ref="O75:S75"/>
    <mergeCell ref="O76:S76"/>
    <mergeCell ref="O77:S77"/>
    <mergeCell ref="O78:S78"/>
    <mergeCell ref="O79:S79"/>
    <mergeCell ref="O80:S80"/>
    <mergeCell ref="O74:S74"/>
    <mergeCell ref="O38:S38"/>
    <mergeCell ref="O42:S42"/>
    <mergeCell ref="O40:X40"/>
    <mergeCell ref="V41:W41"/>
    <mergeCell ref="V42:W42"/>
    <mergeCell ref="T148:U148"/>
    <mergeCell ref="T125:U125"/>
    <mergeCell ref="V125:W125"/>
    <mergeCell ref="T147:U147"/>
    <mergeCell ref="T143:U143"/>
    <mergeCell ref="T138:U138"/>
    <mergeCell ref="T142:U142"/>
    <mergeCell ref="V142:W142"/>
    <mergeCell ref="O123:S123"/>
    <mergeCell ref="O124:S124"/>
    <mergeCell ref="O125:S125"/>
    <mergeCell ref="O126:S126"/>
    <mergeCell ref="O127:S127"/>
    <mergeCell ref="O128:S128"/>
    <mergeCell ref="O133:S133"/>
    <mergeCell ref="O131:X131"/>
    <mergeCell ref="V141:W141"/>
    <mergeCell ref="T126:U126"/>
    <mergeCell ref="T128:U128"/>
    <mergeCell ref="V139:W139"/>
    <mergeCell ref="O135:S135"/>
    <mergeCell ref="T122:U122"/>
    <mergeCell ref="T127:U127"/>
    <mergeCell ref="V126:W126"/>
    <mergeCell ref="T118:U118"/>
    <mergeCell ref="W128:X128"/>
    <mergeCell ref="V119:W119"/>
    <mergeCell ref="O129:X129"/>
    <mergeCell ref="O130:X130"/>
    <mergeCell ref="O132:X132"/>
    <mergeCell ref="T68:U68"/>
    <mergeCell ref="O72:X72"/>
    <mergeCell ref="O62:S62"/>
    <mergeCell ref="T46:U46"/>
    <mergeCell ref="T67:U67"/>
    <mergeCell ref="V138:W138"/>
    <mergeCell ref="V136:W136"/>
    <mergeCell ref="V137:W137"/>
    <mergeCell ref="V120:W120"/>
    <mergeCell ref="T120:U120"/>
    <mergeCell ref="O115:S115"/>
    <mergeCell ref="V114:W114"/>
    <mergeCell ref="T134:U134"/>
    <mergeCell ref="T135:U135"/>
    <mergeCell ref="T136:U136"/>
    <mergeCell ref="T137:U137"/>
    <mergeCell ref="T115:U115"/>
    <mergeCell ref="O119:S119"/>
    <mergeCell ref="O120:S120"/>
    <mergeCell ref="O122:S122"/>
    <mergeCell ref="O116:S116"/>
    <mergeCell ref="V127:W127"/>
    <mergeCell ref="T114:U114"/>
    <mergeCell ref="O134:S134"/>
    <mergeCell ref="O160:S160"/>
    <mergeCell ref="O149:S149"/>
    <mergeCell ref="O150:S150"/>
    <mergeCell ref="O184:S184"/>
    <mergeCell ref="O156:S156"/>
    <mergeCell ref="O151:S151"/>
    <mergeCell ref="O144:S144"/>
    <mergeCell ref="O145:S145"/>
    <mergeCell ref="T107:U107"/>
    <mergeCell ref="O137:S137"/>
    <mergeCell ref="O138:S138"/>
    <mergeCell ref="O139:S139"/>
    <mergeCell ref="O141:S141"/>
    <mergeCell ref="O142:S142"/>
    <mergeCell ref="O143:S143"/>
    <mergeCell ref="O158:S158"/>
    <mergeCell ref="O152:S152"/>
    <mergeCell ref="O153:S153"/>
    <mergeCell ref="O140:S140"/>
    <mergeCell ref="O146:S146"/>
    <mergeCell ref="O147:S147"/>
    <mergeCell ref="O148:S148"/>
    <mergeCell ref="T139:U139"/>
    <mergeCell ref="T141:U141"/>
    <mergeCell ref="AA15:AH15"/>
    <mergeCell ref="AA10:AH12"/>
    <mergeCell ref="AA8:AH9"/>
    <mergeCell ref="AA13:AH14"/>
    <mergeCell ref="Z147:AG148"/>
    <mergeCell ref="Z146:AG146"/>
    <mergeCell ref="V37:X38"/>
    <mergeCell ref="O111:S111"/>
    <mergeCell ref="O112:X112"/>
    <mergeCell ref="O29:S29"/>
    <mergeCell ref="T29:U29"/>
    <mergeCell ref="V29:X29"/>
    <mergeCell ref="V106:W106"/>
    <mergeCell ref="V111:W111"/>
    <mergeCell ref="T111:U111"/>
    <mergeCell ref="O97:X97"/>
    <mergeCell ref="O108:S108"/>
    <mergeCell ref="T31:U31"/>
    <mergeCell ref="T33:U33"/>
    <mergeCell ref="T36:U36"/>
    <mergeCell ref="T26:U26"/>
    <mergeCell ref="T27:U27"/>
    <mergeCell ref="O36:S36"/>
    <mergeCell ref="V26:W26"/>
    <mergeCell ref="Z158:AE158"/>
    <mergeCell ref="Z157:AE157"/>
    <mergeCell ref="Z159:AE159"/>
    <mergeCell ref="AA27:AH27"/>
    <mergeCell ref="AA28:AH28"/>
    <mergeCell ref="AA24:AH25"/>
    <mergeCell ref="O83:X83"/>
    <mergeCell ref="O82:X82"/>
    <mergeCell ref="V79:W79"/>
    <mergeCell ref="V77:W77"/>
    <mergeCell ref="V27:W27"/>
    <mergeCell ref="O26:P26"/>
    <mergeCell ref="O27:P27"/>
    <mergeCell ref="O30:S30"/>
    <mergeCell ref="T30:U30"/>
    <mergeCell ref="V30:X30"/>
    <mergeCell ref="V31:X31"/>
    <mergeCell ref="V32:X32"/>
    <mergeCell ref="V33:X33"/>
    <mergeCell ref="V34:X34"/>
    <mergeCell ref="O31:S31"/>
    <mergeCell ref="O32:S32"/>
    <mergeCell ref="O33:S33"/>
    <mergeCell ref="O34:S34"/>
    <mergeCell ref="O35:S35"/>
    <mergeCell ref="O55:S55"/>
    <mergeCell ref="T32:U32"/>
    <mergeCell ref="V78:W78"/>
    <mergeCell ref="T100:U100"/>
    <mergeCell ref="V100:W100"/>
    <mergeCell ref="V74:W74"/>
    <mergeCell ref="T85:U85"/>
    <mergeCell ref="T91:U91"/>
    <mergeCell ref="V92:W92"/>
    <mergeCell ref="T74:U74"/>
    <mergeCell ref="T42:U42"/>
    <mergeCell ref="T43:U43"/>
    <mergeCell ref="T49:U49"/>
    <mergeCell ref="T62:U62"/>
    <mergeCell ref="O58:X58"/>
    <mergeCell ref="V69:W69"/>
    <mergeCell ref="O71:X71"/>
    <mergeCell ref="V51:W51"/>
    <mergeCell ref="T50:U50"/>
    <mergeCell ref="O66:S66"/>
    <mergeCell ref="O67:S67"/>
    <mergeCell ref="V44:W44"/>
    <mergeCell ref="O54:S54"/>
    <mergeCell ref="AC20:AF20"/>
    <mergeCell ref="AC21:AF21"/>
    <mergeCell ref="AA23:AH23"/>
    <mergeCell ref="AA29:AH30"/>
    <mergeCell ref="AA16:AH18"/>
    <mergeCell ref="AA54:AH56"/>
    <mergeCell ref="AH82:AH83"/>
    <mergeCell ref="AA111:AH112"/>
    <mergeCell ref="V60:W60"/>
    <mergeCell ref="V43:W43"/>
    <mergeCell ref="V50:W50"/>
    <mergeCell ref="V85:W85"/>
    <mergeCell ref="V86:W86"/>
    <mergeCell ref="V105:W105"/>
  </mergeCells>
  <phoneticPr fontId="7" type="noConversion"/>
  <conditionalFormatting sqref="V57:W57">
    <cfRule type="expression" priority="491" stopIfTrue="1">
      <formula>$V$57&lt;=0</formula>
    </cfRule>
  </conditionalFormatting>
  <conditionalFormatting sqref="V70:W70">
    <cfRule type="expression" priority="490" stopIfTrue="1">
      <formula>$V$70&lt;=0</formula>
    </cfRule>
  </conditionalFormatting>
  <conditionalFormatting sqref="V81:W81">
    <cfRule type="expression" priority="489" stopIfTrue="1">
      <formula>$V$81&lt;=0</formula>
    </cfRule>
  </conditionalFormatting>
  <conditionalFormatting sqref="V96:W96">
    <cfRule type="expression" priority="487" stopIfTrue="1">
      <formula>$V$96&lt;=0</formula>
    </cfRule>
  </conditionalFormatting>
  <conditionalFormatting sqref="V108:W108">
    <cfRule type="expression" priority="485" stopIfTrue="1">
      <formula>$V$108&lt;=0</formula>
    </cfRule>
  </conditionalFormatting>
  <conditionalFormatting sqref="V128:W128">
    <cfRule type="expression" priority="483" stopIfTrue="1">
      <formula>$V$128&lt;=0</formula>
    </cfRule>
  </conditionalFormatting>
  <conditionalFormatting sqref="V172:W172">
    <cfRule type="expression" priority="479" stopIfTrue="1">
      <formula>$V$172&lt;=0</formula>
    </cfRule>
  </conditionalFormatting>
  <conditionalFormatting sqref="V184:W184">
    <cfRule type="expression" priority="477" stopIfTrue="1">
      <formula>$V$184&lt;=0</formula>
    </cfRule>
  </conditionalFormatting>
  <conditionalFormatting sqref="V203:W203">
    <cfRule type="expression" priority="475" stopIfTrue="1">
      <formula>$V$203&lt;=0</formula>
    </cfRule>
  </conditionalFormatting>
  <conditionalFormatting sqref="V205:W207">
    <cfRule type="expression" priority="471" stopIfTrue="1">
      <formula>$V$205=0</formula>
    </cfRule>
    <cfRule type="iconSet" priority="472">
      <iconSet iconSet="3Symbols" showValue="0" reverse="1">
        <cfvo type="percent" val="0"/>
        <cfvo type="num" val="1" gte="0"/>
        <cfvo type="num" val="1.0000009999999999" gte="0"/>
      </iconSet>
    </cfRule>
  </conditionalFormatting>
  <conditionalFormatting sqref="O1:U1">
    <cfRule type="expression" dxfId="314" priority="469">
      <formula>AND($T$1&gt;=0.98,$T$1&lt;=1.000001)</formula>
    </cfRule>
    <cfRule type="expression" dxfId="313" priority="470">
      <formula>$T$1&gt;1.01</formula>
    </cfRule>
  </conditionalFormatting>
  <conditionalFormatting sqref="W1">
    <cfRule type="iconSet" priority="467">
      <iconSet iconSet="3Symbols" showValue="0" reverse="1">
        <cfvo type="percent" val="0"/>
        <cfvo type="num" val="1.0000009999999999"/>
        <cfvo type="num" val="1.05"/>
      </iconSet>
    </cfRule>
  </conditionalFormatting>
  <conditionalFormatting sqref="V17:W17">
    <cfRule type="expression" dxfId="312" priority="466">
      <formula>$T$17&gt;0</formula>
    </cfRule>
  </conditionalFormatting>
  <conditionalFormatting sqref="V18:W18">
    <cfRule type="expression" dxfId="311" priority="465">
      <formula>$T$18&gt;0</formula>
    </cfRule>
  </conditionalFormatting>
  <conditionalFormatting sqref="V19:W19">
    <cfRule type="expression" dxfId="310" priority="464">
      <formula>$T$19&gt;0</formula>
    </cfRule>
  </conditionalFormatting>
  <conditionalFormatting sqref="V20:W20">
    <cfRule type="expression" dxfId="309" priority="463">
      <formula>$T$20&gt;0</formula>
    </cfRule>
  </conditionalFormatting>
  <conditionalFormatting sqref="V21:W21">
    <cfRule type="expression" dxfId="308" priority="462">
      <formula>$T$21&gt;0</formula>
    </cfRule>
  </conditionalFormatting>
  <conditionalFormatting sqref="V22:W22">
    <cfRule type="expression" dxfId="307" priority="461">
      <formula>$T$22&gt;0</formula>
    </cfRule>
  </conditionalFormatting>
  <conditionalFormatting sqref="W206:X207">
    <cfRule type="expression" dxfId="306" priority="434">
      <formula>$U$206&gt;0</formula>
    </cfRule>
  </conditionalFormatting>
  <conditionalFormatting sqref="V15:W15">
    <cfRule type="expression" dxfId="305" priority="414">
      <formula>AND($M$16=0,$M$37=0)</formula>
    </cfRule>
  </conditionalFormatting>
  <conditionalFormatting sqref="V41:W41">
    <cfRule type="expression" dxfId="304" priority="413">
      <formula>AND($T$45=0,$T$51=0,$T$53=0,$T$54=0)</formula>
    </cfRule>
  </conditionalFormatting>
  <conditionalFormatting sqref="V81">
    <cfRule type="iconSet" priority="492">
      <iconSet iconSet="3Symbols" showValue="0" reverse="1">
        <cfvo type="percent" val="0"/>
        <cfvo type="num" val="IF($J$74&gt;$T$81,0.01,IF($J$73&gt;20,$J$73/100,0.2))" gte="0"/>
        <cfvo type="num" val="1" gte="0"/>
      </iconSet>
    </cfRule>
  </conditionalFormatting>
  <conditionalFormatting sqref="V70">
    <cfRule type="iconSet" priority="493">
      <iconSet iconSet="3Symbols" showValue="0" reverse="1">
        <cfvo type="percent" val="0"/>
        <cfvo type="num" val="0.05" gte="0"/>
        <cfvo type="num" val="1" gte="0"/>
      </iconSet>
    </cfRule>
  </conditionalFormatting>
  <conditionalFormatting sqref="V57">
    <cfRule type="iconSet" priority="494">
      <iconSet iconSet="3Symbols" showValue="0" reverse="1">
        <cfvo type="percent" val="0"/>
        <cfvo type="num" val="0.35" gte="0"/>
        <cfvo type="num" val="1" gte="0"/>
      </iconSet>
    </cfRule>
  </conditionalFormatting>
  <conditionalFormatting sqref="V108">
    <cfRule type="iconSet" priority="486">
      <iconSet iconSet="3Symbols" showValue="0" reverse="1">
        <cfvo type="percent" val="0"/>
        <cfvo type="num" val="0.05" gte="0"/>
        <cfvo type="num" val="1" gte="0"/>
      </iconSet>
    </cfRule>
  </conditionalFormatting>
  <conditionalFormatting sqref="T4:W4">
    <cfRule type="expression" dxfId="303" priority="399">
      <formula>$T$4="First Name"</formula>
    </cfRule>
  </conditionalFormatting>
  <conditionalFormatting sqref="T6:W6">
    <cfRule type="expression" dxfId="302" priority="99">
      <formula>AND($Y$4="Yes",$T$37=0,OR($T$6="First Name",$T$6=""))</formula>
    </cfRule>
    <cfRule type="expression" dxfId="301" priority="395">
      <formula>AND($Y$4="Yes",$T$10=0,$T$37=0)</formula>
    </cfRule>
    <cfRule type="expression" dxfId="300" priority="397">
      <formula>$Y$4="No"</formula>
    </cfRule>
    <cfRule type="expression" dxfId="299" priority="398">
      <formula>$T$6="First Name"</formula>
    </cfRule>
  </conditionalFormatting>
  <conditionalFormatting sqref="T4:W4 Y4:Y5 T10">
    <cfRule type="expression" dxfId="298" priority="396">
      <formula>AND($T$37=0,OR($T$10=0,OR($T$4="First Name",$T$4="")))</formula>
    </cfRule>
  </conditionalFormatting>
  <conditionalFormatting sqref="V89">
    <cfRule type="expression" dxfId="297" priority="383">
      <formula>$T$89&gt;0</formula>
    </cfRule>
  </conditionalFormatting>
  <conditionalFormatting sqref="V94:W94">
    <cfRule type="expression" dxfId="296" priority="381">
      <formula>$T$94&gt;0</formula>
    </cfRule>
  </conditionalFormatting>
  <conditionalFormatting sqref="V84:W84">
    <cfRule type="expression" dxfId="295" priority="379">
      <formula>$M$96&gt;0</formula>
    </cfRule>
  </conditionalFormatting>
  <conditionalFormatting sqref="V55:W55">
    <cfRule type="expression" dxfId="294" priority="373">
      <formula>$T$55&gt;0</formula>
    </cfRule>
  </conditionalFormatting>
  <conditionalFormatting sqref="V96">
    <cfRule type="iconSet" priority="488">
      <iconSet iconSet="3Symbols" showValue="0" reverse="1">
        <cfvo type="percent" val="0"/>
        <cfvo type="num" val="0.2" gte="0"/>
        <cfvo type="num" val="1" gte="0"/>
      </iconSet>
    </cfRule>
  </conditionalFormatting>
  <conditionalFormatting sqref="V99:W99">
    <cfRule type="expression" dxfId="293" priority="365">
      <formula>$M$108&gt;0</formula>
    </cfRule>
  </conditionalFormatting>
  <conditionalFormatting sqref="V113:W113">
    <cfRule type="expression" dxfId="292" priority="357">
      <formula>$T$113&gt;0</formula>
    </cfRule>
  </conditionalFormatting>
  <conditionalFormatting sqref="V114:W114">
    <cfRule type="expression" dxfId="291" priority="356">
      <formula>$T$114&gt;0</formula>
    </cfRule>
  </conditionalFormatting>
  <conditionalFormatting sqref="V115:W115">
    <cfRule type="expression" dxfId="290" priority="355">
      <formula>$T$115&gt;0</formula>
    </cfRule>
  </conditionalFormatting>
  <conditionalFormatting sqref="V116:W116">
    <cfRule type="expression" dxfId="289" priority="354">
      <formula>$T$116&gt;0</formula>
    </cfRule>
  </conditionalFormatting>
  <conditionalFormatting sqref="V117:W117">
    <cfRule type="expression" dxfId="288" priority="353">
      <formula>$T$117&gt;0</formula>
    </cfRule>
  </conditionalFormatting>
  <conditionalFormatting sqref="V118:W118">
    <cfRule type="expression" dxfId="287" priority="352">
      <formula>$T$118&gt;0</formula>
    </cfRule>
  </conditionalFormatting>
  <conditionalFormatting sqref="V119:W119 V121:W121">
    <cfRule type="expression" dxfId="286" priority="351">
      <formula>$T$119&gt;0</formula>
    </cfRule>
  </conditionalFormatting>
  <conditionalFormatting sqref="V120:W120">
    <cfRule type="expression" dxfId="285" priority="350">
      <formula>$T$120&gt;0</formula>
    </cfRule>
  </conditionalFormatting>
  <conditionalFormatting sqref="V122:W122">
    <cfRule type="expression" dxfId="284" priority="348">
      <formula>$T$122&gt;0</formula>
    </cfRule>
  </conditionalFormatting>
  <conditionalFormatting sqref="V123:W123">
    <cfRule type="expression" dxfId="283" priority="347">
      <formula>$T$123&gt;0</formula>
    </cfRule>
  </conditionalFormatting>
  <conditionalFormatting sqref="V124:W124">
    <cfRule type="expression" dxfId="282" priority="346">
      <formula>$T$124&gt;0</formula>
    </cfRule>
  </conditionalFormatting>
  <conditionalFormatting sqref="V125:W125">
    <cfRule type="expression" dxfId="281" priority="345">
      <formula>$T$125&gt;0</formula>
    </cfRule>
  </conditionalFormatting>
  <conditionalFormatting sqref="V126:W126">
    <cfRule type="expression" dxfId="280" priority="344">
      <formula>$T$126&gt;0</formula>
    </cfRule>
  </conditionalFormatting>
  <conditionalFormatting sqref="V127:W127">
    <cfRule type="expression" dxfId="279" priority="343">
      <formula>$T$127&gt;0</formula>
    </cfRule>
  </conditionalFormatting>
  <conditionalFormatting sqref="V128">
    <cfRule type="iconSet" priority="484">
      <iconSet iconSet="3Symbols" showValue="0" reverse="1">
        <cfvo type="percent" val="0"/>
        <cfvo type="num" val="0.03" gte="0"/>
        <cfvo type="num" val="1" gte="0"/>
      </iconSet>
    </cfRule>
  </conditionalFormatting>
  <conditionalFormatting sqref="V172">
    <cfRule type="iconSet" priority="480">
      <iconSet iconSet="3Symbols" showValue="0" reverse="1">
        <cfvo type="percent" val="0"/>
        <cfvo type="num" val="$V$262" gte="0"/>
        <cfvo type="num" val="1" gte="0"/>
      </iconSet>
    </cfRule>
  </conditionalFormatting>
  <conditionalFormatting sqref="V159:W159">
    <cfRule type="expression" dxfId="278" priority="341">
      <formula>$T$159&gt;0</formula>
    </cfRule>
  </conditionalFormatting>
  <conditionalFormatting sqref="V167:W167">
    <cfRule type="expression" dxfId="277" priority="339">
      <formula>$T$167&gt;0</formula>
    </cfRule>
  </conditionalFormatting>
  <conditionalFormatting sqref="V168:W168">
    <cfRule type="expression" dxfId="276" priority="338">
      <formula>$T$168&gt;0</formula>
    </cfRule>
  </conditionalFormatting>
  <conditionalFormatting sqref="V169:W169">
    <cfRule type="expression" dxfId="275" priority="337">
      <formula>$T$169&gt;0</formula>
    </cfRule>
  </conditionalFormatting>
  <conditionalFormatting sqref="V158:W158">
    <cfRule type="expression" dxfId="274" priority="335">
      <formula>$T$158&gt;0</formula>
    </cfRule>
  </conditionalFormatting>
  <conditionalFormatting sqref="V157:W157">
    <cfRule type="expression" dxfId="273" priority="334">
      <formula>$T$157&gt;0</formula>
    </cfRule>
  </conditionalFormatting>
  <conditionalFormatting sqref="V156:W156">
    <cfRule type="expression" dxfId="272" priority="333">
      <formula>$T$156&gt;0</formula>
    </cfRule>
  </conditionalFormatting>
  <conditionalFormatting sqref="V155:W155">
    <cfRule type="expression" dxfId="271" priority="332">
      <formula>$T$155&gt;0</formula>
    </cfRule>
  </conditionalFormatting>
  <conditionalFormatting sqref="V153:W153">
    <cfRule type="expression" dxfId="270" priority="331">
      <formula>$T$153&gt;0</formula>
    </cfRule>
  </conditionalFormatting>
  <conditionalFormatting sqref="V152:W152">
    <cfRule type="expression" dxfId="269" priority="330">
      <formula>$T$152&gt;0</formula>
    </cfRule>
  </conditionalFormatting>
  <conditionalFormatting sqref="V151:W151">
    <cfRule type="expression" dxfId="268" priority="329">
      <formula>$T$151&gt;0</formula>
    </cfRule>
  </conditionalFormatting>
  <conditionalFormatting sqref="V150:W150">
    <cfRule type="expression" dxfId="267" priority="328">
      <formula>$T$150&gt;0</formula>
    </cfRule>
  </conditionalFormatting>
  <conditionalFormatting sqref="V149:W149">
    <cfRule type="expression" dxfId="266" priority="327">
      <formula>$T$149&gt;0</formula>
    </cfRule>
  </conditionalFormatting>
  <conditionalFormatting sqref="V148:W148">
    <cfRule type="expression" dxfId="265" priority="326">
      <formula>$T$148&gt;0</formula>
    </cfRule>
  </conditionalFormatting>
  <conditionalFormatting sqref="V147:W147">
    <cfRule type="expression" dxfId="264" priority="325">
      <formula>$T$147&gt;0</formula>
    </cfRule>
  </conditionalFormatting>
  <conditionalFormatting sqref="V177:W177">
    <cfRule type="expression" dxfId="263" priority="321">
      <formula>$T$177&gt;0</formula>
    </cfRule>
  </conditionalFormatting>
  <conditionalFormatting sqref="V178:W178">
    <cfRule type="expression" dxfId="262" priority="320">
      <formula>$T$178&gt;0</formula>
    </cfRule>
  </conditionalFormatting>
  <conditionalFormatting sqref="V179:W179">
    <cfRule type="expression" dxfId="261" priority="319">
      <formula>$T$179&gt;0</formula>
    </cfRule>
  </conditionalFormatting>
  <conditionalFormatting sqref="V180:W180">
    <cfRule type="expression" dxfId="260" priority="318">
      <formula>$T$180&gt;0</formula>
    </cfRule>
  </conditionalFormatting>
  <conditionalFormatting sqref="V182">
    <cfRule type="expression" dxfId="259" priority="317">
      <formula>$T$182&gt;0</formula>
    </cfRule>
  </conditionalFormatting>
  <conditionalFormatting sqref="V183:W183">
    <cfRule type="expression" dxfId="258" priority="316">
      <formula>$T$183&gt;0</formula>
    </cfRule>
  </conditionalFormatting>
  <conditionalFormatting sqref="V176:W176">
    <cfRule type="expression" dxfId="257" priority="314">
      <formula>$M$184&gt;0</formula>
    </cfRule>
  </conditionalFormatting>
  <conditionalFormatting sqref="V184">
    <cfRule type="iconSet" priority="478">
      <iconSet iconSet="3Symbols" showValue="0" reverse="1">
        <cfvo type="percent" val="0"/>
        <cfvo type="num" val="0.2" gte="0"/>
        <cfvo type="num" val="1" gte="0"/>
      </iconSet>
    </cfRule>
  </conditionalFormatting>
  <conditionalFormatting sqref="X177">
    <cfRule type="expression" dxfId="256" priority="313">
      <formula>AND($T$177&gt;0,$M$184&lt;2)</formula>
    </cfRule>
  </conditionalFormatting>
  <conditionalFormatting sqref="X178">
    <cfRule type="expression" dxfId="255" priority="312">
      <formula>AND($T$178&gt;0,$M$184&lt;2)</formula>
    </cfRule>
  </conditionalFormatting>
  <conditionalFormatting sqref="X179">
    <cfRule type="expression" dxfId="254" priority="311">
      <formula>AND($T$179&gt;0,$M$184&lt;2)</formula>
    </cfRule>
  </conditionalFormatting>
  <conditionalFormatting sqref="X180">
    <cfRule type="expression" dxfId="253" priority="310">
      <formula>AND($T$180&gt;0,$M$184&lt;2)</formula>
    </cfRule>
  </conditionalFormatting>
  <conditionalFormatting sqref="X181:X182">
    <cfRule type="expression" dxfId="252" priority="309">
      <formula>AND($T$181&gt;0,$M$184&lt;2)</formula>
    </cfRule>
  </conditionalFormatting>
  <conditionalFormatting sqref="V200:W200">
    <cfRule type="expression" dxfId="251" priority="302">
      <formula>$T$200&gt;0</formula>
    </cfRule>
  </conditionalFormatting>
  <conditionalFormatting sqref="V201:W201">
    <cfRule type="expression" dxfId="250" priority="301">
      <formula>$T$201&gt;0</formula>
    </cfRule>
  </conditionalFormatting>
  <conditionalFormatting sqref="V203">
    <cfRule type="iconSet" priority="476">
      <iconSet iconSet="3Symbols" showValue="0" reverse="1">
        <cfvo type="percent" val="0"/>
        <cfvo type="num" val="0.15" gte="0"/>
        <cfvo type="num" val="0.5"/>
      </iconSet>
    </cfRule>
  </conditionalFormatting>
  <conditionalFormatting sqref="O58:X58">
    <cfRule type="expression" dxfId="249" priority="289">
      <formula>AND($M$57&gt;0,$T$37&lt;=0)</formula>
    </cfRule>
  </conditionalFormatting>
  <conditionalFormatting sqref="O71:X71">
    <cfRule type="expression" dxfId="248" priority="288">
      <formula>AND($M$70&gt;0,$T$37&lt;=0)</formula>
    </cfRule>
  </conditionalFormatting>
  <conditionalFormatting sqref="V88:W88">
    <cfRule type="expression" dxfId="247" priority="276">
      <formula>$T$88&gt;0</formula>
    </cfRule>
  </conditionalFormatting>
  <conditionalFormatting sqref="V93:W93">
    <cfRule type="expression" dxfId="246" priority="274">
      <formula>$T$93&gt;0</formula>
    </cfRule>
  </conditionalFormatting>
  <conditionalFormatting sqref="V87:W87">
    <cfRule type="expression" dxfId="245" priority="272">
      <formula>$T$87&gt;0</formula>
    </cfRule>
  </conditionalFormatting>
  <conditionalFormatting sqref="V91:W91">
    <cfRule type="expression" dxfId="244" priority="271">
      <formula>$T$91&gt;0</formula>
    </cfRule>
  </conditionalFormatting>
  <conditionalFormatting sqref="V92:W92">
    <cfRule type="expression" dxfId="243" priority="270">
      <formula>$T$92&gt;0</formula>
    </cfRule>
  </conditionalFormatting>
  <conditionalFormatting sqref="V95:W95">
    <cfRule type="expression" dxfId="242" priority="269">
      <formula>$T$95&gt;0</formula>
    </cfRule>
  </conditionalFormatting>
  <conditionalFormatting sqref="V90:W90">
    <cfRule type="expression" dxfId="241" priority="268">
      <formula>$T$90&gt;0</formula>
    </cfRule>
  </conditionalFormatting>
  <conditionalFormatting sqref="V86:W86">
    <cfRule type="expression" dxfId="240" priority="267">
      <formula>$T$86&gt;0</formula>
    </cfRule>
  </conditionalFormatting>
  <conditionalFormatting sqref="V85:W85">
    <cfRule type="expression" dxfId="239" priority="266">
      <formula>$T$85&gt;0</formula>
    </cfRule>
  </conditionalFormatting>
  <conditionalFormatting sqref="U10:X12">
    <cfRule type="expression" dxfId="238" priority="265">
      <formula>AND($N$4=1,$T$37=0)</formula>
    </cfRule>
  </conditionalFormatting>
  <conditionalFormatting sqref="T10">
    <cfRule type="expression" dxfId="237" priority="263">
      <formula>AND($N$4=1,$T$37=0)</formula>
    </cfRule>
  </conditionalFormatting>
  <conditionalFormatting sqref="X88">
    <cfRule type="expression" dxfId="236" priority="254">
      <formula>AND($T$88&gt;0,M96&lt;3,M108&lt;2,M128&lt;2)</formula>
    </cfRule>
  </conditionalFormatting>
  <conditionalFormatting sqref="X85">
    <cfRule type="expression" dxfId="235" priority="614">
      <formula>AND(T85&gt;0,M96&lt;3,M108&lt;2,M128&lt;2)</formula>
    </cfRule>
  </conditionalFormatting>
  <conditionalFormatting sqref="X87">
    <cfRule type="expression" dxfId="234" priority="616">
      <formula>AND(T87&gt;0,M96&lt;3,M108&lt;2,M128&lt;2)</formula>
    </cfRule>
  </conditionalFormatting>
  <conditionalFormatting sqref="X89">
    <cfRule type="expression" dxfId="233" priority="51">
      <formula>AND($T$96&gt;0,$T$89="")</formula>
    </cfRule>
    <cfRule type="expression" dxfId="232" priority="619">
      <formula>AND(T89&gt;0,M96&lt;3,M108&lt;2,M128&lt;2)</formula>
    </cfRule>
  </conditionalFormatting>
  <conditionalFormatting sqref="X90">
    <cfRule type="expression" dxfId="231" priority="621">
      <formula>AND(T90&gt;0,M96&lt;3,M108&lt;2,M128&lt;2)</formula>
    </cfRule>
  </conditionalFormatting>
  <conditionalFormatting sqref="V45:W45">
    <cfRule type="expression" dxfId="230" priority="624">
      <formula>OR($T$45&gt;0,X54="&lt;&lt;")</formula>
    </cfRule>
  </conditionalFormatting>
  <conditionalFormatting sqref="V51:W51">
    <cfRule type="expression" dxfId="229" priority="626">
      <formula>OR($T$51&gt;0,$X$54="&lt;&lt;")</formula>
    </cfRule>
  </conditionalFormatting>
  <conditionalFormatting sqref="V53:W53">
    <cfRule type="expression" dxfId="228" priority="628">
      <formula>OR($T$53&gt;0,$X$54="&lt;&lt;")</formula>
    </cfRule>
  </conditionalFormatting>
  <conditionalFormatting sqref="V187:W187">
    <cfRule type="expression" dxfId="227" priority="728">
      <formula>$M$203=0</formula>
    </cfRule>
  </conditionalFormatting>
  <conditionalFormatting sqref="V54:W54">
    <cfRule type="expression" dxfId="226" priority="239">
      <formula>$T$54&gt;0</formula>
    </cfRule>
  </conditionalFormatting>
  <conditionalFormatting sqref="O100:S100">
    <cfRule type="expression" dxfId="225" priority="1665">
      <formula>AND($T$100&gt;0,$M$108&lt;3,$M$128&lt;2,$M$172&lt;2)</formula>
    </cfRule>
  </conditionalFormatting>
  <conditionalFormatting sqref="V42:W42">
    <cfRule type="expression" dxfId="224" priority="229">
      <formula>$T$42&gt;0</formula>
    </cfRule>
  </conditionalFormatting>
  <conditionalFormatting sqref="V43:W43">
    <cfRule type="expression" dxfId="223" priority="228">
      <formula>$T$43&gt;0</formula>
    </cfRule>
  </conditionalFormatting>
  <conditionalFormatting sqref="V100:W100">
    <cfRule type="expression" dxfId="222" priority="224">
      <formula>$T$100&gt;0</formula>
    </cfRule>
  </conditionalFormatting>
  <conditionalFormatting sqref="V101:W101">
    <cfRule type="expression" dxfId="221" priority="223">
      <formula>$T$101&gt;0</formula>
    </cfRule>
  </conditionalFormatting>
  <conditionalFormatting sqref="V102:W102">
    <cfRule type="expression" dxfId="220" priority="222">
      <formula>$T$102&gt;0</formula>
    </cfRule>
  </conditionalFormatting>
  <conditionalFormatting sqref="V103:W103">
    <cfRule type="expression" dxfId="219" priority="221">
      <formula>$T$103&gt;0</formula>
    </cfRule>
  </conditionalFormatting>
  <conditionalFormatting sqref="V104:W104">
    <cfRule type="expression" dxfId="218" priority="220">
      <formula>$T$104&gt;0</formula>
    </cfRule>
  </conditionalFormatting>
  <conditionalFormatting sqref="V105:W105">
    <cfRule type="expression" dxfId="217" priority="219">
      <formula>$T$105&gt;0</formula>
    </cfRule>
  </conditionalFormatting>
  <conditionalFormatting sqref="V106:W106">
    <cfRule type="expression" dxfId="216" priority="218">
      <formula>$T$106&gt;0</formula>
    </cfRule>
  </conditionalFormatting>
  <conditionalFormatting sqref="V107:W107">
    <cfRule type="expression" dxfId="215" priority="217">
      <formula>$T$107&gt;0</formula>
    </cfRule>
  </conditionalFormatting>
  <conditionalFormatting sqref="X100">
    <cfRule type="expression" dxfId="214" priority="216">
      <formula>AND($T$100&gt;0,$M$108&lt;3)</formula>
    </cfRule>
  </conditionalFormatting>
  <conditionalFormatting sqref="O102:S102">
    <cfRule type="expression" dxfId="213" priority="215">
      <formula>AND($T$102&gt;0,$M$108&lt;3)</formula>
    </cfRule>
  </conditionalFormatting>
  <conditionalFormatting sqref="X1">
    <cfRule type="expression" dxfId="212" priority="2143">
      <formula>OR($T$205=0,$M$70&gt;0,$M$81&gt;0,$M$96&gt;0)</formula>
    </cfRule>
  </conditionalFormatting>
  <conditionalFormatting sqref="V16:W16">
    <cfRule type="expression" dxfId="211" priority="2144">
      <formula>AND($T$205=0,$T$16&gt;0,$T$17="",$T$18="",$T$19="",$T$20="",$T$21="",$T$22="",$T$23="",$T$200=0)</formula>
    </cfRule>
  </conditionalFormatting>
  <conditionalFormatting sqref="O39:X39 X16:X20">
    <cfRule type="expression" dxfId="210" priority="2145">
      <formula>AND($T$16&gt;0,$T$17="",$T$18="",$T$19="",$T$20="",$T$21="",$T$22="",$T$23="",$T$205=0)</formula>
    </cfRule>
  </conditionalFormatting>
  <conditionalFormatting sqref="T42:U42 T44:U44 T46:U46 T48:U48 T50:U50 T52:U52 T54:U54 T56:U56">
    <cfRule type="expression" dxfId="209" priority="2147">
      <formula>AND($M$37&gt;=1,$T$205=0)</formula>
    </cfRule>
  </conditionalFormatting>
  <conditionalFormatting sqref="T43:U43 T45:U45 T47:U47 T49:U49 T51:U51 T53:U53 T55:U55">
    <cfRule type="expression" dxfId="208" priority="2154">
      <formula>AND($M$37&gt;=1,$T$205=0)</formula>
    </cfRule>
  </conditionalFormatting>
  <conditionalFormatting sqref="T16:U16 T18:U18 T20:U20 T22:U22 P24">
    <cfRule type="expression" dxfId="207" priority="2161">
      <formula>OR(AND($T$10&gt;0,$T$37=0),AND($T$205&gt;0,$T$37&lt;=0))</formula>
    </cfRule>
  </conditionalFormatting>
  <conditionalFormatting sqref="T17:U17 T19:U19 T21:U21 T23:U23">
    <cfRule type="expression" dxfId="206" priority="2165">
      <formula>OR(AND($T$10&gt;0,$T$37=0),AND($T$205&gt;0,$T$37&lt;=0))</formula>
    </cfRule>
  </conditionalFormatting>
  <conditionalFormatting sqref="X1:AH1">
    <cfRule type="expression" dxfId="205" priority="2169">
      <formula>AND(T205&gt;0,T37&lt;=0)</formula>
    </cfRule>
  </conditionalFormatting>
  <conditionalFormatting sqref="T207">
    <cfRule type="expression" dxfId="204" priority="2177">
      <formula>(T39-T206)&gt;99.99</formula>
    </cfRule>
  </conditionalFormatting>
  <conditionalFormatting sqref="O101:S101">
    <cfRule type="expression" dxfId="203" priority="214">
      <formula>AND($T$101&gt;0,$M$108&lt;3,$M$128&lt;2,$M$172&lt;2)</formula>
    </cfRule>
  </conditionalFormatting>
  <conditionalFormatting sqref="X101:X105">
    <cfRule type="expression" dxfId="202" priority="213">
      <formula>$L$108=1</formula>
    </cfRule>
  </conditionalFormatting>
  <conditionalFormatting sqref="V111:W111">
    <cfRule type="expression" dxfId="201" priority="212">
      <formula>$M$128&gt;0</formula>
    </cfRule>
  </conditionalFormatting>
  <conditionalFormatting sqref="V134:W134">
    <cfRule type="expression" dxfId="200" priority="211">
      <formula>$T$134&gt;0</formula>
    </cfRule>
  </conditionalFormatting>
  <conditionalFormatting sqref="V136:W136">
    <cfRule type="expression" dxfId="199" priority="210">
      <formula>$T$136&gt;0</formula>
    </cfRule>
  </conditionalFormatting>
  <conditionalFormatting sqref="V138:W138">
    <cfRule type="expression" dxfId="198" priority="209">
      <formula>$T$138&gt;0</formula>
    </cfRule>
  </conditionalFormatting>
  <conditionalFormatting sqref="V135:W135">
    <cfRule type="expression" dxfId="197" priority="208">
      <formula>$T$135&gt;0</formula>
    </cfRule>
  </conditionalFormatting>
  <conditionalFormatting sqref="V137:W137">
    <cfRule type="expression" dxfId="196" priority="207">
      <formula>$T$137&gt;0</formula>
    </cfRule>
  </conditionalFormatting>
  <conditionalFormatting sqref="V141:W141">
    <cfRule type="expression" dxfId="195" priority="204">
      <formula>$T$141&gt;0</formula>
    </cfRule>
  </conditionalFormatting>
  <conditionalFormatting sqref="V142:W142">
    <cfRule type="expression" dxfId="194" priority="203">
      <formula>$T$142&gt;0</formula>
    </cfRule>
  </conditionalFormatting>
  <conditionalFormatting sqref="V143:W143">
    <cfRule type="expression" dxfId="193" priority="202">
      <formula>$T$143&gt;0</formula>
    </cfRule>
  </conditionalFormatting>
  <conditionalFormatting sqref="V144:W144">
    <cfRule type="expression" dxfId="192" priority="201">
      <formula>$T$144&gt;0</formula>
    </cfRule>
  </conditionalFormatting>
  <conditionalFormatting sqref="V146:W146">
    <cfRule type="expression" dxfId="191" priority="199">
      <formula>$T$146&gt;0</formula>
    </cfRule>
  </conditionalFormatting>
  <conditionalFormatting sqref="V154:W154">
    <cfRule type="expression" dxfId="190" priority="191">
      <formula>$T$154&gt;0</formula>
    </cfRule>
  </conditionalFormatting>
  <conditionalFormatting sqref="V160:W160">
    <cfRule type="expression" dxfId="189" priority="185">
      <formula>$T$160&gt;0</formula>
    </cfRule>
  </conditionalFormatting>
  <conditionalFormatting sqref="V161:W161">
    <cfRule type="expression" dxfId="188" priority="184">
      <formula>$T$161&gt;0</formula>
    </cfRule>
  </conditionalFormatting>
  <conditionalFormatting sqref="V162:W162">
    <cfRule type="expression" dxfId="187" priority="183">
      <formula>$T$162&gt;0</formula>
    </cfRule>
  </conditionalFormatting>
  <conditionalFormatting sqref="V163:W163">
    <cfRule type="expression" dxfId="186" priority="182">
      <formula>$T$163&gt;0</formula>
    </cfRule>
  </conditionalFormatting>
  <conditionalFormatting sqref="V164:W164">
    <cfRule type="expression" dxfId="185" priority="181">
      <formula>$T$164&gt;0</formula>
    </cfRule>
  </conditionalFormatting>
  <conditionalFormatting sqref="V166:W166">
    <cfRule type="expression" dxfId="184" priority="180">
      <formula>$T$166&gt;0</formula>
    </cfRule>
  </conditionalFormatting>
  <conditionalFormatting sqref="V170:W170">
    <cfRule type="expression" dxfId="183" priority="176">
      <formula>$T$170&gt;0</formula>
    </cfRule>
  </conditionalFormatting>
  <conditionalFormatting sqref="V171:W171">
    <cfRule type="expression" dxfId="182" priority="175">
      <formula>$T$171&gt;0</formula>
    </cfRule>
  </conditionalFormatting>
  <conditionalFormatting sqref="V145:W145">
    <cfRule type="expression" dxfId="181" priority="174">
      <formula>$T$145&gt;0</formula>
    </cfRule>
  </conditionalFormatting>
  <conditionalFormatting sqref="V165:W165">
    <cfRule type="expression" dxfId="180" priority="173">
      <formula>$L$171&gt;0</formula>
    </cfRule>
  </conditionalFormatting>
  <conditionalFormatting sqref="V140:W140">
    <cfRule type="expression" dxfId="179" priority="172">
      <formula>$L$164&gt;0</formula>
    </cfRule>
  </conditionalFormatting>
  <conditionalFormatting sqref="V133:W133">
    <cfRule type="expression" dxfId="178" priority="171">
      <formula>$L$138&gt;0</formula>
    </cfRule>
  </conditionalFormatting>
  <conditionalFormatting sqref="T206">
    <cfRule type="expression" dxfId="177" priority="2197">
      <formula>(T37-T205)&gt;99.99</formula>
    </cfRule>
  </conditionalFormatting>
  <conditionalFormatting sqref="X200">
    <cfRule type="expression" dxfId="176" priority="169">
      <formula>OR(AND($T$203&gt;0,$T$200="",$W$209="No"),AND($T$200="",$W$209="No",$T$172&gt;0))</formula>
    </cfRule>
  </conditionalFormatting>
  <conditionalFormatting sqref="W212">
    <cfRule type="expression" dxfId="175" priority="46">
      <formula>$O$211=""</formula>
    </cfRule>
    <cfRule type="expression" dxfId="174" priority="167">
      <formula>$W$209="Yes"</formula>
    </cfRule>
  </conditionalFormatting>
  <conditionalFormatting sqref="V139:W139">
    <cfRule type="expression" dxfId="173" priority="166">
      <formula>$T$139&gt;0</formula>
    </cfRule>
  </conditionalFormatting>
  <conditionalFormatting sqref="O211:U213">
    <cfRule type="expression" dxfId="172" priority="165">
      <formula>$W$209="Select"</formula>
    </cfRule>
  </conditionalFormatting>
  <conditionalFormatting sqref="V44:W44">
    <cfRule type="expression" dxfId="171" priority="164">
      <formula>$T$44&gt;0</formula>
    </cfRule>
  </conditionalFormatting>
  <conditionalFormatting sqref="V52:W52">
    <cfRule type="expression" dxfId="170" priority="163">
      <formula>$T$52&gt;0</formula>
    </cfRule>
  </conditionalFormatting>
  <conditionalFormatting sqref="V49:W49">
    <cfRule type="expression" dxfId="169" priority="162">
      <formula>$T$49&gt;0</formula>
    </cfRule>
  </conditionalFormatting>
  <conditionalFormatting sqref="V46:W46">
    <cfRule type="expression" dxfId="168" priority="161">
      <formula>$T$46&gt;0</formula>
    </cfRule>
  </conditionalFormatting>
  <conditionalFormatting sqref="V47:W47">
    <cfRule type="expression" dxfId="167" priority="160">
      <formula>$T$47&gt;0</formula>
    </cfRule>
  </conditionalFormatting>
  <conditionalFormatting sqref="V48:W48">
    <cfRule type="expression" dxfId="166" priority="159">
      <formula>$T$48&gt;0</formula>
    </cfRule>
  </conditionalFormatting>
  <conditionalFormatting sqref="V50:W50">
    <cfRule type="expression" dxfId="165" priority="158">
      <formula>$T$50&gt;0</formula>
    </cfRule>
  </conditionalFormatting>
  <conditionalFormatting sqref="V56:W56">
    <cfRule type="expression" dxfId="164" priority="157">
      <formula>$T$56&gt;0</formula>
    </cfRule>
  </conditionalFormatting>
  <conditionalFormatting sqref="X75">
    <cfRule type="expression" dxfId="163" priority="156">
      <formula>AND(M81&lt;2,OR(T75&gt;0,T76&gt;0,T77&gt;0,M70&gt;0,M96&gt;0))</formula>
    </cfRule>
  </conditionalFormatting>
  <conditionalFormatting sqref="V75:W75">
    <cfRule type="expression" dxfId="162" priority="155">
      <formula>$T$75&gt;0</formula>
    </cfRule>
  </conditionalFormatting>
  <conditionalFormatting sqref="X76">
    <cfRule type="expression" dxfId="161" priority="154">
      <formula>AND(M81&lt;2,OR(T75&gt;0,T76&gt;0,T77&gt;0,M70&gt;0,M96&gt;0))</formula>
    </cfRule>
  </conditionalFormatting>
  <conditionalFormatting sqref="V76:W76">
    <cfRule type="expression" dxfId="160" priority="153">
      <formula>$T$76&gt;0</formula>
    </cfRule>
  </conditionalFormatting>
  <conditionalFormatting sqref="X77">
    <cfRule type="expression" dxfId="159" priority="152">
      <formula>AND(M81&lt;2,OR(T75&gt;0,T76&gt;0,T77&gt;0,M70&gt;0,M96&gt;0))</formula>
    </cfRule>
  </conditionalFormatting>
  <conditionalFormatting sqref="V77:W77">
    <cfRule type="expression" dxfId="158" priority="151">
      <formula>$T$77&gt;0</formula>
    </cfRule>
  </conditionalFormatting>
  <conditionalFormatting sqref="V78:W78">
    <cfRule type="expression" dxfId="157" priority="150">
      <formula>$T$78&gt;0</formula>
    </cfRule>
  </conditionalFormatting>
  <conditionalFormatting sqref="V79:W79">
    <cfRule type="expression" dxfId="156" priority="149">
      <formula>$T$79&gt;0</formula>
    </cfRule>
  </conditionalFormatting>
  <conditionalFormatting sqref="V80:W80">
    <cfRule type="expression" dxfId="155" priority="148">
      <formula>$T$80&gt;0</formula>
    </cfRule>
  </conditionalFormatting>
  <conditionalFormatting sqref="X78">
    <cfRule type="expression" dxfId="154" priority="147">
      <formula>AND(M81&lt;2,OR(T75&gt;0,T76&gt;0,T77&gt;0,M70&gt;0,M96&gt;0))</formula>
    </cfRule>
  </conditionalFormatting>
  <conditionalFormatting sqref="X61">
    <cfRule type="expression" dxfId="153" priority="146">
      <formula>AND(T61&gt;0,M70&lt;2,M81&lt;2,M96&lt;2,M108&lt;2,M172&lt;2)</formula>
    </cfRule>
  </conditionalFormatting>
  <conditionalFormatting sqref="V61:W61">
    <cfRule type="expression" dxfId="152" priority="145">
      <formula>$T$61&gt;0</formula>
    </cfRule>
  </conditionalFormatting>
  <conditionalFormatting sqref="X62">
    <cfRule type="expression" dxfId="151" priority="144">
      <formula>AND(T62&gt;0,M70&lt;2,M81&lt;2,M96&lt;2,M108&lt;2,M172&lt;2)</formula>
    </cfRule>
  </conditionalFormatting>
  <conditionalFormatting sqref="V62:W62">
    <cfRule type="expression" dxfId="150" priority="143">
      <formula>$T$62&gt;0</formula>
    </cfRule>
  </conditionalFormatting>
  <conditionalFormatting sqref="V63:W63">
    <cfRule type="expression" dxfId="149" priority="142">
      <formula>$T$63&gt;0</formula>
    </cfRule>
  </conditionalFormatting>
  <conditionalFormatting sqref="V64:W64">
    <cfRule type="expression" dxfId="148" priority="141">
      <formula>$T$64&gt;0</formula>
    </cfRule>
  </conditionalFormatting>
  <conditionalFormatting sqref="V65:W65">
    <cfRule type="expression" dxfId="147" priority="139">
      <formula>$T$65&gt;0</formula>
    </cfRule>
  </conditionalFormatting>
  <conditionalFormatting sqref="V66:W66">
    <cfRule type="expression" dxfId="146" priority="138">
      <formula>$T$66&gt;0</formula>
    </cfRule>
  </conditionalFormatting>
  <conditionalFormatting sqref="V67:W67">
    <cfRule type="expression" dxfId="145" priority="137">
      <formula>$T$67&gt;0</formula>
    </cfRule>
  </conditionalFormatting>
  <conditionalFormatting sqref="V68:W68">
    <cfRule type="expression" dxfId="144" priority="136">
      <formula>$T$68&gt;0</formula>
    </cfRule>
  </conditionalFormatting>
  <conditionalFormatting sqref="V69:W69">
    <cfRule type="expression" dxfId="143" priority="134">
      <formula>$T$69&gt;0</formula>
    </cfRule>
  </conditionalFormatting>
  <conditionalFormatting sqref="X188">
    <cfRule type="expression" dxfId="142" priority="133">
      <formula>AND(T188&gt;0,$M$203&lt;3,AND($T$206&gt;99.99,$W$209="No"))</formula>
    </cfRule>
  </conditionalFormatting>
  <conditionalFormatting sqref="X189">
    <cfRule type="expression" dxfId="141" priority="132">
      <formula>AND(T189&gt;0,$M$203&lt;3)</formula>
    </cfRule>
  </conditionalFormatting>
  <conditionalFormatting sqref="V188:W188">
    <cfRule type="expression" dxfId="140" priority="131">
      <formula>$T$188&gt;0</formula>
    </cfRule>
  </conditionalFormatting>
  <conditionalFormatting sqref="V189:W189">
    <cfRule type="expression" dxfId="139" priority="130">
      <formula>$T$189&gt;0</formula>
    </cfRule>
  </conditionalFormatting>
  <conditionalFormatting sqref="X190">
    <cfRule type="expression" dxfId="138" priority="129">
      <formula>AND(T190&gt;0,$M$203&lt;3,AND($T$206&gt;99.99,$W$209="No"))</formula>
    </cfRule>
  </conditionalFormatting>
  <conditionalFormatting sqref="V190:W190">
    <cfRule type="expression" dxfId="137" priority="128">
      <formula>$T$190&gt;0</formula>
    </cfRule>
  </conditionalFormatting>
  <conditionalFormatting sqref="X191">
    <cfRule type="expression" dxfId="136" priority="127">
      <formula>AND(T191&gt;0,$M$203&lt;3,AND($T$206&gt;99.99,$W$209="No"))</formula>
    </cfRule>
  </conditionalFormatting>
  <conditionalFormatting sqref="V191:W191">
    <cfRule type="expression" dxfId="135" priority="126">
      <formula>$T$191&gt;0</formula>
    </cfRule>
  </conditionalFormatting>
  <conditionalFormatting sqref="X192">
    <cfRule type="expression" dxfId="134" priority="125">
      <formula>AND(T192&gt;0,$M$203&lt;3)</formula>
    </cfRule>
  </conditionalFormatting>
  <conditionalFormatting sqref="V192:W192">
    <cfRule type="expression" dxfId="133" priority="124">
      <formula>$T$192&gt;0</formula>
    </cfRule>
  </conditionalFormatting>
  <conditionalFormatting sqref="X193">
    <cfRule type="expression" dxfId="132" priority="123">
      <formula>AND(T193&gt;0,$M$203&lt;3,AND($T$206&gt;99.99,$W$209="No"))</formula>
    </cfRule>
  </conditionalFormatting>
  <conditionalFormatting sqref="V193:W193">
    <cfRule type="expression" dxfId="131" priority="122">
      <formula>$T$193&gt;0</formula>
    </cfRule>
  </conditionalFormatting>
  <conditionalFormatting sqref="V194:W194">
    <cfRule type="expression" dxfId="130" priority="121">
      <formula>$T$194&gt;0</formula>
    </cfRule>
  </conditionalFormatting>
  <conditionalFormatting sqref="V195:W195">
    <cfRule type="expression" dxfId="129" priority="120">
      <formula>$T$195&gt;0</formula>
    </cfRule>
  </conditionalFormatting>
  <conditionalFormatting sqref="V196:W196">
    <cfRule type="expression" dxfId="128" priority="119">
      <formula>$T$196&gt;0</formula>
    </cfRule>
  </conditionalFormatting>
  <conditionalFormatting sqref="V197:W197">
    <cfRule type="expression" dxfId="127" priority="118">
      <formula>$T$197&gt;0</formula>
    </cfRule>
  </conditionalFormatting>
  <conditionalFormatting sqref="V198:W198">
    <cfRule type="expression" dxfId="126" priority="117">
      <formula>$T$198&gt;0</formula>
    </cfRule>
  </conditionalFormatting>
  <conditionalFormatting sqref="V199:W199">
    <cfRule type="expression" dxfId="125" priority="116">
      <formula>$T$199&gt;0</formula>
    </cfRule>
  </conditionalFormatting>
  <conditionalFormatting sqref="V202:W202">
    <cfRule type="expression" dxfId="124" priority="115">
      <formula>$T$202&gt;0</formula>
    </cfRule>
  </conditionalFormatting>
  <conditionalFormatting sqref="V181:W181">
    <cfRule type="expression" dxfId="123" priority="114">
      <formula>$T$181&gt;0</formula>
    </cfRule>
  </conditionalFormatting>
  <conditionalFormatting sqref="X45">
    <cfRule type="expression" dxfId="122" priority="113">
      <formula>AND($T$57&gt;0,$T$45="")</formula>
    </cfRule>
  </conditionalFormatting>
  <conditionalFormatting sqref="X91">
    <cfRule type="expression" dxfId="121" priority="112">
      <formula>AND($T$96&gt;0,$T$91="")</formula>
    </cfRule>
  </conditionalFormatting>
  <conditionalFormatting sqref="X115">
    <cfRule type="expression" dxfId="120" priority="111">
      <formula>AND(OR($T$128&gt;0,$T$108&gt;0,$T$172&gt;0),$T$115="")</formula>
    </cfRule>
  </conditionalFormatting>
  <conditionalFormatting sqref="X116">
    <cfRule type="expression" dxfId="119" priority="110">
      <formula>AND(OR($T$128&gt;0,$T$108&gt;0,$T$172&gt;0),$T$116="")</formula>
    </cfRule>
  </conditionalFormatting>
  <conditionalFormatting sqref="X117">
    <cfRule type="expression" dxfId="118" priority="109">
      <formula>AND(OR($T$128&gt;0,$T$108&gt;0,$T$172&gt;0),$T$117="")</formula>
    </cfRule>
  </conditionalFormatting>
  <conditionalFormatting sqref="X118">
    <cfRule type="expression" dxfId="117" priority="108">
      <formula>AND(OR($T$128&gt;0,$T$108&gt;0,$T$172&gt;0),$T$118="")</formula>
    </cfRule>
  </conditionalFormatting>
  <conditionalFormatting sqref="X119">
    <cfRule type="expression" dxfId="116" priority="107">
      <formula>AND(OR($T$128&gt;0,$T$108&gt;0,$T$172&gt;0),$T$119="")</formula>
    </cfRule>
  </conditionalFormatting>
  <conditionalFormatting sqref="X126">
    <cfRule type="expression" dxfId="115" priority="106">
      <formula>AND(OR($T$128&gt;0,$T$108&gt;0,$T$172&gt;0),$T$126="")</formula>
    </cfRule>
  </conditionalFormatting>
  <conditionalFormatting sqref="X93">
    <cfRule type="expression" dxfId="114" priority="105">
      <formula>AND($T$96&gt;0,$T$93="")</formula>
    </cfRule>
  </conditionalFormatting>
  <conditionalFormatting sqref="X94">
    <cfRule type="expression" dxfId="113" priority="104">
      <formula>AND($T$96&gt;0,$T$94="")</formula>
    </cfRule>
  </conditionalFormatting>
  <conditionalFormatting sqref="X51">
    <cfRule type="expression" dxfId="112" priority="103">
      <formula>AND($T$57&gt;0,$T$51="")</formula>
    </cfRule>
  </conditionalFormatting>
  <conditionalFormatting sqref="X53">
    <cfRule type="expression" dxfId="111" priority="102">
      <formula>AND($T$57&gt;0,$T$53="")</formula>
    </cfRule>
  </conditionalFormatting>
  <conditionalFormatting sqref="X54">
    <cfRule type="expression" dxfId="110" priority="101">
      <formula>AND($T$57&gt;0,$T$54="")</formula>
    </cfRule>
  </conditionalFormatting>
  <conditionalFormatting sqref="Y4:Y5">
    <cfRule type="expression" dxfId="109" priority="100">
      <formula>AND($N$4=1,$T$37=0,$Y$4="No")</formula>
    </cfRule>
  </conditionalFormatting>
  <conditionalFormatting sqref="X137">
    <cfRule type="expression" dxfId="108" priority="98">
      <formula>AND($T$172&gt;0,$T$137="")</formula>
    </cfRule>
  </conditionalFormatting>
  <conditionalFormatting sqref="X138">
    <cfRule type="expression" dxfId="107" priority="97">
      <formula>AND($T$172&gt;0,$T$138="")</formula>
    </cfRule>
  </conditionalFormatting>
  <conditionalFormatting sqref="X149">
    <cfRule type="expression" dxfId="106" priority="96">
      <formula>AND($T$172&gt;0,$T$149="")</formula>
    </cfRule>
  </conditionalFormatting>
  <conditionalFormatting sqref="X150">
    <cfRule type="expression" dxfId="105" priority="95">
      <formula>AND($T$172&gt;0,$T$150="")</formula>
    </cfRule>
  </conditionalFormatting>
  <conditionalFormatting sqref="X152">
    <cfRule type="expression" dxfId="104" priority="94">
      <formula>AND($T$172&gt;0,$T$152="")</formula>
    </cfRule>
  </conditionalFormatting>
  <conditionalFormatting sqref="X153">
    <cfRule type="expression" dxfId="103" priority="93">
      <formula>AND($T$172&gt;0,$T$153="")</formula>
    </cfRule>
  </conditionalFormatting>
  <conditionalFormatting sqref="X156">
    <cfRule type="expression" dxfId="102" priority="92">
      <formula>AND($T$172&gt;0,$T$156="")</formula>
    </cfRule>
  </conditionalFormatting>
  <conditionalFormatting sqref="X157">
    <cfRule type="expression" dxfId="101" priority="91">
      <formula>AND($T$172&gt;0,$T$157="")</formula>
    </cfRule>
  </conditionalFormatting>
  <conditionalFormatting sqref="X158">
    <cfRule type="expression" dxfId="100" priority="90">
      <formula>AND($T$172&gt;0,$T$158="")</formula>
    </cfRule>
  </conditionalFormatting>
  <conditionalFormatting sqref="X159">
    <cfRule type="expression" dxfId="99" priority="89">
      <formula>AND($T$172&gt;0,$T$159="")</formula>
    </cfRule>
  </conditionalFormatting>
  <conditionalFormatting sqref="X168">
    <cfRule type="expression" dxfId="98" priority="88">
      <formula>AND($T$172&gt;0,$T$168="")</formula>
    </cfRule>
  </conditionalFormatting>
  <conditionalFormatting sqref="X169">
    <cfRule type="expression" dxfId="97" priority="87">
      <formula>AND($T$172&gt;0,$T$169="")</formula>
    </cfRule>
  </conditionalFormatting>
  <conditionalFormatting sqref="AI71">
    <cfRule type="iconSet" priority="86">
      <iconSet iconSet="3ArrowsGray">
        <cfvo type="percent" val="0"/>
        <cfvo type="percent" val="33"/>
        <cfvo type="percent" val="67"/>
      </iconSet>
    </cfRule>
  </conditionalFormatting>
  <conditionalFormatting sqref="AH68:AH70">
    <cfRule type="expression" dxfId="96" priority="85">
      <formula>L245&lt;0.3</formula>
    </cfRule>
  </conditionalFormatting>
  <conditionalFormatting sqref="AH71">
    <cfRule type="expression" dxfId="95" priority="84">
      <formula>L246&lt;0.3</formula>
    </cfRule>
  </conditionalFormatting>
  <conditionalFormatting sqref="AH73">
    <cfRule type="expression" dxfId="94" priority="83">
      <formula>L247&lt;0.3</formula>
    </cfRule>
  </conditionalFormatting>
  <conditionalFormatting sqref="AH74:AH75">
    <cfRule type="expression" dxfId="93" priority="82">
      <formula>L248&lt;0.3</formula>
    </cfRule>
  </conditionalFormatting>
  <conditionalFormatting sqref="AH77:AH78">
    <cfRule type="expression" dxfId="92" priority="81">
      <formula>L249&lt;0.3</formula>
    </cfRule>
  </conditionalFormatting>
  <conditionalFormatting sqref="AH81">
    <cfRule type="expression" dxfId="91" priority="80">
      <formula>L250&lt;0.3</formula>
    </cfRule>
  </conditionalFormatting>
  <conditionalFormatting sqref="AH82:AH83">
    <cfRule type="expression" dxfId="90" priority="79">
      <formula>L251&lt;0.3</formula>
    </cfRule>
  </conditionalFormatting>
  <conditionalFormatting sqref="AH84">
    <cfRule type="expression" dxfId="89" priority="78">
      <formula>L252&lt;0.3</formula>
    </cfRule>
  </conditionalFormatting>
  <conditionalFormatting sqref="AH62:AH65">
    <cfRule type="expression" dxfId="88" priority="77">
      <formula>OR(L244&lt;0.5,$M$57=0)</formula>
    </cfRule>
  </conditionalFormatting>
  <conditionalFormatting sqref="AG158 AG160">
    <cfRule type="expression" dxfId="87" priority="74">
      <formula>OR($AF$158="",$AF$158="Select")</formula>
    </cfRule>
  </conditionalFormatting>
  <conditionalFormatting sqref="T8:Y8">
    <cfRule type="expression" dxfId="86" priority="68">
      <formula>AND($T$37&gt;0,NOT($T$8="- Select -"))</formula>
    </cfRule>
    <cfRule type="expression" dxfId="85" priority="69">
      <formula>AND($T$37=0,$T$8="- Select -")</formula>
    </cfRule>
  </conditionalFormatting>
  <conditionalFormatting sqref="T16:U23">
    <cfRule type="expression" dxfId="84" priority="67">
      <formula>$T$37&lt;1500</formula>
    </cfRule>
  </conditionalFormatting>
  <conditionalFormatting sqref="T192:U192 T188:U188 T190:U190">
    <cfRule type="expression" dxfId="83" priority="2354">
      <formula>AND(W188&gt;0,$M$203&lt;3,AND($T$206&gt;99.99,$W$209="No"))</formula>
    </cfRule>
  </conditionalFormatting>
  <conditionalFormatting sqref="T189:U189 T191:U191 T193:U193">
    <cfRule type="expression" dxfId="82" priority="2357">
      <formula>AND(W189&gt;0,$M$203&lt;3,AND($T$206&gt;99.99,$W$209="No"))</formula>
    </cfRule>
  </conditionalFormatting>
  <conditionalFormatting sqref="R177:S177">
    <cfRule type="expression" dxfId="81" priority="2360">
      <formula>AND($T$177&gt;0,$M$184&lt;2,U206&gt;99.99)</formula>
    </cfRule>
  </conditionalFormatting>
  <conditionalFormatting sqref="R178:S178">
    <cfRule type="expression" dxfId="80" priority="2361">
      <formula>AND($T$178&gt;0,$M$184&lt;2,U206&gt;99.99)</formula>
    </cfRule>
  </conditionalFormatting>
  <conditionalFormatting sqref="R85:S85">
    <cfRule type="expression" dxfId="79" priority="2365">
      <formula>AND(U85&gt;0,N96&lt;3,N108&lt;2,N128&lt;2)</formula>
    </cfRule>
  </conditionalFormatting>
  <conditionalFormatting sqref="R87:S87">
    <cfRule type="expression" dxfId="78" priority="2366">
      <formula>AND(U87&gt;0,N96&lt;3,N108&lt;2,N128&lt;2)</formula>
    </cfRule>
  </conditionalFormatting>
  <conditionalFormatting sqref="R88:S88">
    <cfRule type="expression" dxfId="77" priority="2367">
      <formula>AND(U88&gt;0,N96&lt;3,N108&lt;2,N128&lt;2)</formula>
    </cfRule>
  </conditionalFormatting>
  <conditionalFormatting sqref="R89:S89">
    <cfRule type="expression" dxfId="76" priority="2368">
      <formula>AND(U89&gt;0,N96&lt;3,N108&lt;2,N128&lt;2)</formula>
    </cfRule>
  </conditionalFormatting>
  <conditionalFormatting sqref="R90:S90">
    <cfRule type="expression" dxfId="75" priority="2369">
      <formula>AND(U90&gt;0,N96&lt;3,N108&lt;2,N128&lt;2)</formula>
    </cfRule>
  </conditionalFormatting>
  <conditionalFormatting sqref="R62:S62">
    <cfRule type="expression" dxfId="74" priority="2372">
      <formula>AND(U62&gt;0,N70&lt;2,N81&lt;2,N96&lt;2,N108&lt;2,N172&lt;2)</formula>
    </cfRule>
  </conditionalFormatting>
  <conditionalFormatting sqref="R61:S61">
    <cfRule type="expression" dxfId="73" priority="2373">
      <formula>AND(U61&gt;0,N70&lt;2,N81&lt;2,N96&lt;2,N108&lt;2,N172&lt;2)</formula>
    </cfRule>
  </conditionalFormatting>
  <conditionalFormatting sqref="R106:S106">
    <cfRule type="expression" dxfId="72" priority="2374">
      <formula>AND(U106&gt;0,N110&lt;2,N130&lt;2,N174&lt;2,N205&lt;2)</formula>
    </cfRule>
  </conditionalFormatting>
  <conditionalFormatting sqref="R103:S103 R105:S105">
    <cfRule type="expression" dxfId="71" priority="2375">
      <formula>AND(U103&gt;0,N108&lt;2,N128&lt;2,N172&lt;2,N203&lt;2)</formula>
    </cfRule>
  </conditionalFormatting>
  <conditionalFormatting sqref="R82:S82">
    <cfRule type="expression" dxfId="70" priority="2377">
      <formula>AND(N81&gt;0,U37&lt;=0)</formula>
    </cfRule>
  </conditionalFormatting>
  <conditionalFormatting sqref="R97:S97">
    <cfRule type="expression" dxfId="69" priority="2378">
      <formula>AND(N96&gt;0,U37&lt;=0)</formula>
    </cfRule>
  </conditionalFormatting>
  <conditionalFormatting sqref="O192:P192 O188:P188 O190:P190">
    <cfRule type="expression" dxfId="68" priority="2379">
      <formula>AND(T188&gt;0,$M$203&lt;3,AND($T$206&gt;99.99,$W$209="No"))</formula>
    </cfRule>
  </conditionalFormatting>
  <conditionalFormatting sqref="Q192 Q188 Q190">
    <cfRule type="expression" dxfId="67" priority="2380">
      <formula>AND(U188&gt;0,$M$203&lt;3,AND($T$206&gt;99.99,$W$209="No"))</formula>
    </cfRule>
  </conditionalFormatting>
  <conditionalFormatting sqref="O189:P189 O191:P191 O193:P193">
    <cfRule type="expression" dxfId="66" priority="2385">
      <formula>AND(T189&gt;0,$M$203&lt;3,AND($T$206&gt;99.99,$W$209="No"))</formula>
    </cfRule>
  </conditionalFormatting>
  <conditionalFormatting sqref="Q189 Q191 Q193">
    <cfRule type="expression" dxfId="65" priority="2386">
      <formula>AND(U189&gt;0,$M$203&lt;3,AND($T$206&gt;99.99,$W$209="No"))</formula>
    </cfRule>
  </conditionalFormatting>
  <conditionalFormatting sqref="O177:P177">
    <cfRule type="expression" dxfId="64" priority="2391">
      <formula>AND($T$177&gt;0,$M$184&lt;2,T206&gt;99.99)</formula>
    </cfRule>
  </conditionalFormatting>
  <conditionalFormatting sqref="Q177">
    <cfRule type="expression" dxfId="63" priority="2392">
      <formula>AND($T$177&gt;0,$M$184&lt;2,U206&gt;99.99)</formula>
    </cfRule>
  </conditionalFormatting>
  <conditionalFormatting sqref="O178:P178">
    <cfRule type="expression" dxfId="62" priority="2393">
      <formula>AND($T$178&gt;0,$M$184&lt;2,T206&gt;99.99)</formula>
    </cfRule>
  </conditionalFormatting>
  <conditionalFormatting sqref="Q178">
    <cfRule type="expression" dxfId="61" priority="2394">
      <formula>AND($T$178&gt;0,$M$184&lt;2,U206&gt;99.99)</formula>
    </cfRule>
  </conditionalFormatting>
  <conditionalFormatting sqref="O85:P85">
    <cfRule type="expression" dxfId="60" priority="2401">
      <formula>AND(T85&gt;0,M96&lt;3,M108&lt;2,M128&lt;2)</formula>
    </cfRule>
  </conditionalFormatting>
  <conditionalFormatting sqref="Q85">
    <cfRule type="expression" dxfId="59" priority="2402">
      <formula>AND(U85&gt;0,N96&lt;3,N108&lt;2,N128&lt;2)</formula>
    </cfRule>
  </conditionalFormatting>
  <conditionalFormatting sqref="O87:P87">
    <cfRule type="expression" dxfId="58" priority="2403">
      <formula>AND(T87&gt;0,M96&lt;3,M108&lt;2,M128&lt;2)</formula>
    </cfRule>
  </conditionalFormatting>
  <conditionalFormatting sqref="Q87">
    <cfRule type="expression" dxfId="57" priority="2404">
      <formula>AND(U87&gt;0,N96&lt;3,N108&lt;2,N128&lt;2)</formula>
    </cfRule>
  </conditionalFormatting>
  <conditionalFormatting sqref="O88:P88">
    <cfRule type="expression" dxfId="56" priority="2405">
      <formula>AND(T88&gt;0,M96&lt;3,M108&lt;2,M128&lt;2)</formula>
    </cfRule>
  </conditionalFormatting>
  <conditionalFormatting sqref="Q88">
    <cfRule type="expression" dxfId="55" priority="2406">
      <formula>AND(U88&gt;0,N96&lt;3,N108&lt;2,N128&lt;2)</formula>
    </cfRule>
  </conditionalFormatting>
  <conditionalFormatting sqref="O89:P89">
    <cfRule type="expression" dxfId="54" priority="2407">
      <formula>AND(T89&gt;0,M96&lt;3,M108&lt;2,M128&lt;2)</formula>
    </cfRule>
  </conditionalFormatting>
  <conditionalFormatting sqref="Q89">
    <cfRule type="expression" dxfId="53" priority="2408">
      <formula>AND(U89&gt;0,N96&lt;3,N108&lt;2,N128&lt;2)</formula>
    </cfRule>
  </conditionalFormatting>
  <conditionalFormatting sqref="O90:P90">
    <cfRule type="expression" dxfId="52" priority="2409">
      <formula>AND(T90&gt;0,M96&lt;3,M108&lt;2,M128&lt;2)</formula>
    </cfRule>
  </conditionalFormatting>
  <conditionalFormatting sqref="Q90">
    <cfRule type="expression" dxfId="51" priority="2410">
      <formula>AND(U90&gt;0,N96&lt;3,N108&lt;2,N128&lt;2)</formula>
    </cfRule>
  </conditionalFormatting>
  <conditionalFormatting sqref="O62:P62">
    <cfRule type="expression" dxfId="50" priority="2415">
      <formula>AND(T62&gt;0,M70&lt;2,M81&lt;2,M96&lt;2,M108&lt;2,M172&lt;2)</formula>
    </cfRule>
  </conditionalFormatting>
  <conditionalFormatting sqref="Q62">
    <cfRule type="expression" dxfId="49" priority="2416">
      <formula>AND(U62&gt;0,N70&lt;2,N81&lt;2,N96&lt;2,N108&lt;2,N172&lt;2)</formula>
    </cfRule>
  </conditionalFormatting>
  <conditionalFormatting sqref="O61:P61">
    <cfRule type="expression" dxfId="48" priority="2417">
      <formula>AND(T61&gt;0,M70&lt;2,M81&lt;2,M96&lt;2,M108&lt;2,M172&lt;2)</formula>
    </cfRule>
  </conditionalFormatting>
  <conditionalFormatting sqref="Q61">
    <cfRule type="expression" dxfId="47" priority="2418">
      <formula>AND(U61&gt;0,N70&lt;2,N81&lt;2,N96&lt;2,N108&lt;2,N172&lt;2)</formula>
    </cfRule>
  </conditionalFormatting>
  <conditionalFormatting sqref="O106:P106">
    <cfRule type="expression" dxfId="46" priority="2419">
      <formula>AND(T106&gt;0,M110&lt;2,M130&lt;2,M174&lt;2,M205&lt;2)</formula>
    </cfRule>
  </conditionalFormatting>
  <conditionalFormatting sqref="Q106">
    <cfRule type="expression" dxfId="45" priority="2420">
      <formula>AND(U106&gt;0,N110&lt;2,N130&lt;2,N174&lt;2,N205&lt;2)</formula>
    </cfRule>
  </conditionalFormatting>
  <conditionalFormatting sqref="O103:P103 O105:P105">
    <cfRule type="expression" dxfId="44" priority="2421">
      <formula>AND(T103&gt;0,M108&lt;2,M128&lt;2,M172&lt;2,M203&lt;2)</formula>
    </cfRule>
  </conditionalFormatting>
  <conditionalFormatting sqref="Q103 Q105">
    <cfRule type="expression" dxfId="43" priority="2422">
      <formula>AND(U103&gt;0,N108&lt;2,N128&lt;2,N172&lt;2,N203&lt;2)</formula>
    </cfRule>
  </conditionalFormatting>
  <conditionalFormatting sqref="O82:P82">
    <cfRule type="expression" dxfId="42" priority="2425">
      <formula>AND(M81&gt;0,T37&lt;=0)</formula>
    </cfRule>
  </conditionalFormatting>
  <conditionalFormatting sqref="Q82">
    <cfRule type="expression" dxfId="41" priority="2426">
      <formula>AND(N81&gt;0,U37&lt;=0)</formula>
    </cfRule>
  </conditionalFormatting>
  <conditionalFormatting sqref="T82:X82">
    <cfRule type="expression" dxfId="40" priority="2427">
      <formula>AND(N81&gt;0,U37&lt;=0)</formula>
    </cfRule>
  </conditionalFormatting>
  <conditionalFormatting sqref="O97:P97">
    <cfRule type="expression" dxfId="39" priority="2428">
      <formula>AND(M96&gt;0,T37&lt;=0)</formula>
    </cfRule>
  </conditionalFormatting>
  <conditionalFormatting sqref="Q97">
    <cfRule type="expression" dxfId="38" priority="2429">
      <formula>AND(N96&gt;0,U37&lt;=0)</formula>
    </cfRule>
  </conditionalFormatting>
  <conditionalFormatting sqref="T97:X97">
    <cfRule type="expression" dxfId="37" priority="2430">
      <formula>AND(N96&gt;0,U37&lt;=0)</formula>
    </cfRule>
  </conditionalFormatting>
  <conditionalFormatting sqref="Q24:S24 V24:W24 O27:P27 P25:P27 P31:P34 O36 O25:O34 I31:I35 O35:P35">
    <cfRule type="expression" dxfId="36" priority="63">
      <formula>AND($P$24="No",$T$25="")</formula>
    </cfRule>
  </conditionalFormatting>
  <conditionalFormatting sqref="O24 Q24:X24">
    <cfRule type="expression" dxfId="35" priority="61">
      <formula>$P$24="Yes"</formula>
    </cfRule>
  </conditionalFormatting>
  <conditionalFormatting sqref="P24">
    <cfRule type="expression" dxfId="34" priority="59">
      <formula>$P$24="Yes"</formula>
    </cfRule>
  </conditionalFormatting>
  <conditionalFormatting sqref="Q25 Q27">
    <cfRule type="expression" dxfId="33" priority="58">
      <formula>AND($P$24="Yes",$Q$25=0,$Q$26=0,$Q$27=0,NOT($O$25="         - Select Type -"),$T$205=0)</formula>
    </cfRule>
  </conditionalFormatting>
  <conditionalFormatting sqref="R25 R27">
    <cfRule type="expression" dxfId="32" priority="55">
      <formula>AND($S$25="months",$P$24="Yes",NOT($O$25="         - Select Type -"),$R$25=0,$R$26=0,$R$27=0,$T$205=0)</formula>
    </cfRule>
  </conditionalFormatting>
  <conditionalFormatting sqref="O39:X39">
    <cfRule type="expression" dxfId="31" priority="53">
      <formula>AND($P$24="Yes",$M$205=0)</formula>
    </cfRule>
  </conditionalFormatting>
  <conditionalFormatting sqref="X25">
    <cfRule type="expression" dxfId="30" priority="52">
      <formula>AND($P$24="Yes",$T$25="")</formula>
    </cfRule>
  </conditionalFormatting>
  <conditionalFormatting sqref="V60:W60">
    <cfRule type="expression" dxfId="29" priority="49">
      <formula>$M$70=0</formula>
    </cfRule>
  </conditionalFormatting>
  <conditionalFormatting sqref="V74:W74">
    <cfRule type="expression" dxfId="28" priority="48">
      <formula>$M$81=0</formula>
    </cfRule>
  </conditionalFormatting>
  <conditionalFormatting sqref="O208:U210">
    <cfRule type="expression" dxfId="27" priority="47">
      <formula>AND($T$1&gt;0.85,$J$323&gt;3,$W$209="Select")</formula>
    </cfRule>
  </conditionalFormatting>
  <conditionalFormatting sqref="O15:S15">
    <cfRule type="expression" dxfId="26" priority="45">
      <formula>AND($T$37&gt;0,M205&gt;5)</formula>
    </cfRule>
  </conditionalFormatting>
  <conditionalFormatting sqref="O166:S166">
    <cfRule type="expression" dxfId="25" priority="44">
      <formula>O166="If you have children, click here to see a drop down menu of options"</formula>
    </cfRule>
  </conditionalFormatting>
  <conditionalFormatting sqref="O167">
    <cfRule type="expression" dxfId="24" priority="42">
      <formula>K171=0</formula>
    </cfRule>
  </conditionalFormatting>
  <conditionalFormatting sqref="O165:S165">
    <cfRule type="expression" dxfId="23" priority="41">
      <formula>$L$171=0</formula>
    </cfRule>
  </conditionalFormatting>
  <conditionalFormatting sqref="O45:S45 O121:S121">
    <cfRule type="expression" dxfId="22" priority="40">
      <formula>O45="Click here for more expense options"</formula>
    </cfRule>
  </conditionalFormatting>
  <conditionalFormatting sqref="O63:S63 O153:S153 O194:Q194 O179:S179">
    <cfRule type="expression" dxfId="21" priority="39">
      <formula>O63="Click here for more expense options"</formula>
    </cfRule>
  </conditionalFormatting>
  <conditionalFormatting sqref="AF152">
    <cfRule type="expression" dxfId="20" priority="35">
      <formula>$Z$152=""</formula>
    </cfRule>
    <cfRule type="expression" dxfId="19" priority="36">
      <formula>$AF$152="Select"</formula>
    </cfRule>
  </conditionalFormatting>
  <conditionalFormatting sqref="AG152">
    <cfRule type="expression" dxfId="18" priority="34">
      <formula>OR($AF$152="",$AF$152="Select")</formula>
    </cfRule>
  </conditionalFormatting>
  <conditionalFormatting sqref="AF154">
    <cfRule type="expression" dxfId="17" priority="32">
      <formula>AND($AF$152="Yes", NOT(OR($M$184&gt;0,$M$203&gt;0)))</formula>
    </cfRule>
    <cfRule type="expression" dxfId="16" priority="33">
      <formula>OR($AF$152="No",$AF$152="",$AF$152="Select")</formula>
    </cfRule>
  </conditionalFormatting>
  <conditionalFormatting sqref="O25:P25">
    <cfRule type="expression" dxfId="15" priority="18">
      <formula>AND($P$24="Yes",$T$205=0,$O$25="         - Select Type -")</formula>
    </cfRule>
  </conditionalFormatting>
  <conditionalFormatting sqref="O26:P26">
    <cfRule type="expression" dxfId="14" priority="17">
      <formula>AND(NOT($O$25="         - Select Type -"),$O$26="Click to add more")</formula>
    </cfRule>
  </conditionalFormatting>
  <conditionalFormatting sqref="Q26 R26 S26 V26:W26">
    <cfRule type="expression" dxfId="13" priority="16">
      <formula>AND($O$26="",$R$26=0,$Q$26=0)</formula>
    </cfRule>
  </conditionalFormatting>
  <conditionalFormatting sqref="Q27:S27 V27:W27">
    <cfRule type="expression" dxfId="12" priority="15">
      <formula>AND($O$27="",$R$27=0,$Q$27=0)</formula>
    </cfRule>
  </conditionalFormatting>
  <conditionalFormatting sqref="V36">
    <cfRule type="iconSet" priority="13">
      <iconSet iconSet="3Symbols" showValue="0">
        <cfvo type="percent" val="0"/>
        <cfvo type="num" val="-1000000" gte="0"/>
        <cfvo type="num" val="0" gte="0"/>
      </iconSet>
    </cfRule>
  </conditionalFormatting>
  <conditionalFormatting sqref="W36:X36">
    <cfRule type="expression" dxfId="11" priority="12">
      <formula>$J$28&lt;-99</formula>
    </cfRule>
  </conditionalFormatting>
  <conditionalFormatting sqref="Q26">
    <cfRule type="expression" dxfId="10" priority="11">
      <formula>AND($P$24="Yes",$Q$25=0,$Q$26=0,$Q$27=0,NOT($O$25="         - Select Type -"),$T$205=0)</formula>
    </cfRule>
  </conditionalFormatting>
  <conditionalFormatting sqref="R26">
    <cfRule type="expression" dxfId="9" priority="10">
      <formula>AND($S$25="months",$P$24="Yes",NOT($O$25="         - Select Type -"),$R$25=0,$R$26=0,$R$27=0,$T$205=0)</formula>
    </cfRule>
  </conditionalFormatting>
  <conditionalFormatting sqref="X25:X27">
    <cfRule type="expression" dxfId="8" priority="9">
      <formula>AND($N$28&gt;0,M205&lt;3)</formula>
    </cfRule>
  </conditionalFormatting>
  <conditionalFormatting sqref="V30:X30">
    <cfRule type="expression" dxfId="7" priority="7">
      <formula>AND(SUM(J25:J27)&gt;0,T37&gt;0,T36=0,M205=0)</formula>
    </cfRule>
  </conditionalFormatting>
  <conditionalFormatting sqref="V31:X31">
    <cfRule type="expression" dxfId="6" priority="6">
      <formula>AND(SUM(J25:J27)&gt;0,T37&gt;0,T36=0,M205=0)</formula>
    </cfRule>
  </conditionalFormatting>
  <conditionalFormatting sqref="X194:X200">
    <cfRule type="expression" dxfId="5" priority="5">
      <formula>AND(T203&gt;50,SUM(N16:N23)&lt;9999)</formula>
    </cfRule>
  </conditionalFormatting>
  <conditionalFormatting sqref="X195">
    <cfRule type="expression" dxfId="4" priority="4">
      <formula>AND(T203&gt;50,SUM(N16:N23)&lt;9999)</formula>
    </cfRule>
  </conditionalFormatting>
  <conditionalFormatting sqref="X198:X200">
    <cfRule type="expression" dxfId="3" priority="3">
      <formula>AND(T203&gt;50,SUM(N16:N23)&lt;9999)</formula>
    </cfRule>
  </conditionalFormatting>
  <conditionalFormatting sqref="X199">
    <cfRule type="expression" dxfId="2" priority="2">
      <formula>AND(T203&gt;50,SUM(N16:N23)&lt;9999)</formula>
    </cfRule>
  </conditionalFormatting>
  <conditionalFormatting sqref="Q25:S25 V25:W25">
    <cfRule type="expression" dxfId="1" priority="1">
      <formula>$P$24="No"</formula>
    </cfRule>
  </conditionalFormatting>
  <dataValidations xWindow="1162" yWindow="611" count="55">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Menu" prompt="Click the arrow button on the right to choose from a drop down list of options" sqref="V51:W51">
      <formula1>$L42:$L$49</formula1>
    </dataValidation>
    <dataValidation allowBlank="1" showInputMessage="1" sqref="I31:I35 O36 O28:O29"/>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Menu" prompt="Click the arrow button on the right to choose from a drop down list of options" sqref="V177:W183 V100:W107 V113:W127 V85:W95 V75:W80 V61:W69 V188:W202">
      <formula1>$J$77:$J$82</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debt payment options" sqref="O188:Q201">
      <formula1>$I$186:$I$202</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Saving Options" prompt="Click the arrow button on the right to choose from a drop down list of options" sqref="O177:S182">
      <formula1>$I$171:$I$183</formula1>
    </dataValidation>
    <dataValidation type="list" allowBlank="1" showInputMessage="1" showErrorMessage="1" promptTitle="Drop Down Options" prompt="Click the arrow button on the right to choose Yes or No" sqref="W209 AF152">
      <formula1>$M$4:$M$5</formula1>
    </dataValidation>
    <dataValidation type="list" allowBlank="1" showInputMessage="1" showErrorMessage="1" promptTitle="Drop Down Options" prompt="Click the arrow button on the right to choose On or Off" sqref="T12">
      <formula1>$M$2:$M$3</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options" sqref="V16:W23">
      <formula1>$L$2:$L$8</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Menu" prompt="Click the arrow button on the right to choose from a drop down list of options" sqref="V45:W45 V53:W55 V49:W49">
      <formula1>$L$42:$L$49</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options" sqref="O85:S94">
      <formula1>$I$80:$I$96</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options" sqref="O100:S106">
      <formula1>$I$97:$I$104</formula1>
    </dataValidation>
    <dataValidation type="list" errorStyle="information" allowBlank="1" showInputMessage="1" showErrorMessage="1" error="To keep what you've entered, click OK. However, this worksheet is only setup to recognize numbers entered into this cell." promptTitle="Drop Down List" prompt="Click the arrow button on the right to choose from a drop down list of options" sqref="T10">
      <formula1>$J$41:$J$56</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options" sqref="O61:S68">
      <formula1>$I$55:$I$64</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prompt="Click the arrow button on the right to choose from a drop down list of options" sqref="V42:W44 V52:W52 V46:W48 V50:W50 V56:W56">
      <formula1>$L$42:$L$49</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Menu" prompt="Click the arrow button on the right to choose from a drop down list of options" sqref="V166:W171 V141:W164 V134:W139">
      <formula1>$L$149:$L$159</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options" sqref="O134:S138">
      <formula1>$I$134:$I$139</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options" sqref="O141:S163">
      <formula1>$I$140:$I$168</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options" sqref="O166:O170">
      <formula1>$J$164:$J$169</formula1>
    </dataValidation>
    <dataValidation type="list" errorStyle="information" allowBlank="1" showInputMessage="1" showErrorMessage="1" error="To keep what you've entered, click OK. However, this worksheet is only setup to recognize the words Yes or No entered into this cell." promptTitle="Drop Down Options" prompt="Click the arrow button on the right to choose Yes or No" sqref="Y4:Y5">
      <formula1>$M$4:$M$5</formula1>
    </dataValidation>
    <dataValidation type="list" allowBlank="1" showInputMessage="1" showErrorMessage="1" promptTitle="Drop Down Choices" prompt="Using the arrow on the right, please select the option that is closest to your reason for creating this budget" sqref="T8:Y8">
      <formula1>$F$2:$F$4</formula1>
    </dataValidation>
    <dataValidation type="list" allowBlank="1" showInputMessage="1" showErrorMessage="1" promptTitle="Drop Down Options" prompt="If you plan to pay for school or supplement your income by withdrawing funds from a lump sum of money, select 'Yes'" sqref="P24">
      <formula1>$M$4:$M$5</formula1>
    </dataValidation>
    <dataValidation errorStyle="information" allowBlank="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debt payment options" sqref="R188:S201"/>
    <dataValidation allowBlank="1" showInputMessage="1" prompt="Enter your monthly expenses in the categories above to use up these funds. If you don't need all this money, then allocate any unused portion to savings (treating saving as an &quot;expense&quot;)." sqref="T206:U206"/>
    <dataValidation allowBlank="1" showInputMessage="1" prompt="This is how much money you earn each year after taxes - the amount you have to work with." sqref="T38:U38"/>
    <dataValidation allowBlank="1" showInputMessage="1" prompt="This is the total amount of income you take home each month after taxes." sqref="T37:U37"/>
    <dataValidation allowBlank="1" showInputMessage="1" prompt="Enter the dollar amount of each source of income you receive." sqref="T15:U15"/>
    <dataValidation allowBlank="1" showInputMessage="1" prompt="Indicate the frequency with which you receive each source of income. You may receive income bi-weekly (every 2 weeks), semi-monthly (2 times each month), or monthly." sqref="V15:W15"/>
    <dataValidation allowBlank="1" showInputMessage="1" prompt="Enter any notes for yourself below" sqref="X15 X187 X176 X111 X99 X84 X74 X60 X41 V29"/>
    <dataValidation allowBlank="1" showInputMessage="1" prompt="Entering your name here will personalize your budget and make things more fun" sqref="T4:W4"/>
    <dataValidation allowBlank="1" showInputMessage="1" prompt="Indicate how often you incur each expense. Choose the frequency that makes the most sense for you. The calculator will translate everything into a monthly total at the bottom of this category." sqref="V41:W41 V165:W165 V111:W111 V99:W99 V84:W84 V60:W60 V74:W74"/>
    <dataValidation allowBlank="1" showInputMessage="1" prompt="Enter the dollar amount for each expense on the lines below" sqref="T41:U41 T165:U165 T140:U140 T133:U133 T111:U111 T99:U99 T84:U84 T74:U74 T60:U60 T29:U29"/>
    <dataValidation allowBlank="1" showInputMessage="1" showErrorMessage="1" prompt="Enter any notes for yourself below" sqref="X133 X165 X140"/>
    <dataValidation allowBlank="1" showInputMessage="1" prompt="Indicate how often you incur each expense. Choose the frequency that makes the most sense for you. The calculator will translate everything into a monthly total at the very bottom of this category." sqref="V133:W133 V140:W140"/>
    <dataValidation allowBlank="1" showInputMessage="1" prompt="Enter the dollar amounts that you would like to save each month. Allocate money to each type of savings that you would like to save for." sqref="T176:U176"/>
    <dataValidation allowBlank="1" showInputMessage="1" prompt="Enter the dollar amounts of your monthly debt payments on the lines below" sqref="T187:U187"/>
    <dataValidation allowBlank="1" showInputMessage="1" prompt="It's a good idea to give all of your money a job - even if this means assigning any left over money to savings (as a monthly savings &quot;expense&quot;)." sqref="W206:X206"/>
    <dataValidation allowBlank="1" showInputMessage="1" prompt="Indicate how often you make a debt payment. Choose the frequency that makes the most sense for you. The calculator will translate everything into a monthly total at the bottom of this category." sqref="V187:W187"/>
    <dataValidation allowBlank="1" showInputMessage="1" prompt="Indicate how often you would like to save each amount of money you've allocated to various types of savings. The calculator will translate any frequencies you choose into a monthly total at the bottom of this category." sqref="V176:W176"/>
    <dataValidation type="list" allowBlank="1" showInputMessage="1" showErrorMessage="1" error="Sorry, you can't enter anything here." promptTitle="Drop Down Options" prompt="Click the arrow button on the right to choose Yes or No" sqref="W212">
      <formula1>$M$4:$M$5</formula1>
    </dataValidation>
    <dataValidation allowBlank="1" showInputMessage="1" prompt="Enter the lump sum amount of money that you have or will have to pay expenses or draw from as income to cover ongoing expenses across the term." sqref="Q25:Q27"/>
    <dataValidation allowBlank="1" showInputMessage="1" prompt="Enter the number of months you need income from the lump sum amount to last, or leave as zero if you need to use the money right away." sqref="R25:R27"/>
    <dataValidation allowBlank="1" showInputMessage="1" prompt="Enter your take home income (the amount you receive after tax)" sqref="T16:U16"/>
    <dataValidation allowBlank="1" showInputMessage="1" prompt="Indicates whether or not your expenses for this category are within the recommended budgeting guidelines" sqref="V57 V70 V81 V96"/>
    <dataValidation allowBlank="1" showInputMessage="1" prompt="Indicates whether or not your budget is balanced (your spending is less than your income)" sqref="V205"/>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options" sqref="O42:S56">
      <formula1>$I$41:$I$54</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options" sqref="O113:S126">
      <formula1>$I$112:$I$124</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options" sqref="O30:S34">
      <formula1>$I$31:$I$38</formula1>
    </dataValidation>
    <dataValidation errorStyle="information" allowBlank="1" showInputMessage="1" error="To keep what you've entered, click OK. You can type in this cell, but you can also change it by selecting an item from a drop down menu. Click on the little arrow button to the right of the cell to see the menu." sqref="V30:X36 O35:S35"/>
    <dataValidation allowBlank="1" showInputMessage="1" prompt="Do you have or plan to receive an amount of money that you will use to pay for school expenses or supplement your income by withdrawing funds from it during the term or school year?" sqref="O24"/>
    <dataValidation type="textLength" errorStyle="information" operator="lessThan" allowBlank="1" showInputMessage="1" showErrorMessage="1" error="Typing in this area will break the lump sum portion of this calculator. Click 'Cancel' to cancel your changes and keep the lump sum portion of the calculator working, or click 'OK' to keep your changes." sqref="T25:U27">
      <formula1>1</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options" sqref="V25:W27">
      <formula1>$H$2:$H$9</formula1>
    </dataValidation>
    <dataValidation type="list" allowBlank="1" showInputMessage="1" showErrorMessage="1" errorTitle="Sorry" error="You can't type in this cell" promptTitle="Two Options:" prompt="Choose if you need the money now to pay up-front expenses. Otherwise indicate the number of months you need the money to last if you plan to use some or all of it to pay ongoing expenses." sqref="S25:S27">
      <formula1>$H$12:$H$13</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Options" prompt="Click the arrow button on the right to choose from a drop down list of options" sqref="O75:S79">
      <formula1>$H$75:$H$80</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Drop Down List of Income Types" prompt="Click the arrow button on the right to choose from a drop down list of options" sqref="O16:S22">
      <formula1>$I$2:$I$26</formula1>
    </dataValidation>
    <dataValidation type="list" errorStyle="information" allowBlank="1" showInputMessage="1" showErrorMessage="1" error="To keep what you've entered, click OK. You can type in this cell, but you can also change it by selecting an item from a drop down menu. Click on the little arrow button to the right of the cell to see the menu." promptTitle="List of Lump Sum Types" prompt="Click the arrow button on the right to choose from a drop down list of options" sqref="O25:P27">
      <formula1>$F$13:$F$25</formula1>
    </dataValidation>
  </dataValidations>
  <hyperlinks>
    <hyperlink ref="O240" r:id="rId1"/>
    <hyperlink ref="O74" r:id="rId2" display="Click here to learn how to save on groceries."/>
    <hyperlink ref="O176" r:id="rId3" location="4"/>
    <hyperlink ref="T270" r:id="rId4"/>
    <hyperlink ref="AA207" r:id="rId5" display="http://www.mymoneycoach.ca/my_budget/out_of_debt.html"/>
    <hyperlink ref="AA208:AH208" r:id="rId6" display="http://www.mymoneycoach.ca/budgeting/loans-debt-credit/get-debt-help-bcal"/>
    <hyperlink ref="AC20" r:id="rId7" display="3 Strategies to Budget for Irregular Income"/>
    <hyperlink ref="AC21" r:id="rId8" location="budgeting-webinars" display="How to Budget Irregular Income"/>
    <hyperlink ref="AA13:AH14" r:id="rId9" display="Click here to access our regular Budgeting Calculator"/>
    <hyperlink ref="Z159" r:id="rId10" display="Click here to visit BudgetBytes.com"/>
    <hyperlink ref="O74:S74" r:id="rId11" display="Learn how to save on groceries"/>
    <hyperlink ref="AA207:AH207" r:id="rId12" display="http://www.mymoneycoach.ca/budgeting/loans-debt-credit/get-out-of-debt-bcal"/>
    <hyperlink ref="O240:X240" r:id="rId13" display="For more budgeting help, visit MyMoneyCoach.ca"/>
    <hyperlink ref="O176:S176" r:id="rId14" display="Where to find money to save each month"/>
  </hyperlinks>
  <printOptions gridLines="1"/>
  <pageMargins left="0.25" right="0.25" top="0.75" bottom="0.75" header="0.3" footer="0.3"/>
  <pageSetup scale="49" fitToHeight="4" orientation="portrait" r:id="rId15"/>
  <headerFooter alignWithMargins="0">
    <oddHeader>&amp;LMy Budget&amp;R&amp;D</oddHeader>
    <oddFooter>&amp;L&amp;K00-034&amp;Z&amp;F&amp;RPage &amp;P of &amp;N</oddFooter>
  </headerFooter>
  <rowBreaks count="1" manualBreakCount="1">
    <brk id="71" min="14" max="34" man="1"/>
  </rowBreaks>
  <ignoredErrors>
    <ignoredError sqref="L66" evalError="1"/>
  </ignoredErrors>
  <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Z199"/>
  <sheetViews>
    <sheetView workbookViewId="0">
      <selection activeCell="M2" sqref="M2"/>
    </sheetView>
  </sheetViews>
  <sheetFormatPr defaultRowHeight="12.75" x14ac:dyDescent="0.2"/>
  <cols>
    <col min="13" max="52" width="9.140625" style="18"/>
  </cols>
  <sheetData>
    <row r="1" spans="1:52" s="24" customFormat="1" ht="33" customHeight="1" x14ac:dyDescent="0.2">
      <c r="A1" s="350" t="str">
        <f>IF('Budget Calculator Spreadsheet'!W212="No", "", "All Suggestions to Reduce Budget Expenses")</f>
        <v>All Suggestions to Reduce Budget Expenses</v>
      </c>
      <c r="B1" s="350"/>
      <c r="C1" s="350"/>
      <c r="D1" s="350"/>
      <c r="E1" s="350"/>
      <c r="F1" s="350"/>
      <c r="G1" s="351" t="str">
        <f>IF(A1="", "", "For more budgeting help, visit MyMoneyCoach.ca")</f>
        <v>For more budgeting help, visit MyMoneyCoach.ca</v>
      </c>
      <c r="H1" s="351"/>
      <c r="I1" s="351"/>
      <c r="J1" s="351"/>
      <c r="K1" s="351"/>
      <c r="L1" s="351"/>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row>
    <row r="2" spans="1:52" x14ac:dyDescent="0.2">
      <c r="A2" s="347" t="str">
        <f>IF('Budget Calculator Spreadsheet'!W212="No", "Once you are done your budget you can ask for some suggestions to reduce your expenses. We'll direct you to look here if we have a long list of suggestions for you.", "If you indicated at the end of the budget calculator that you would like suggestions on how to reduce your expenses, here is a list of suggestions.")</f>
        <v>If you indicated at the end of the budget calculator that you would like suggestions on how to reduce your expenses, here is a list of suggestions.</v>
      </c>
      <c r="B2" s="347"/>
      <c r="C2" s="347"/>
      <c r="D2" s="347"/>
      <c r="E2" s="347"/>
      <c r="F2" s="347"/>
      <c r="G2" s="347"/>
      <c r="H2" s="347"/>
      <c r="I2" s="347"/>
      <c r="J2" s="347"/>
      <c r="K2" s="347"/>
      <c r="L2" s="34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row>
    <row r="3" spans="1:52" ht="20.25" customHeight="1" x14ac:dyDescent="0.2">
      <c r="A3" s="347"/>
      <c r="B3" s="347"/>
      <c r="C3" s="347"/>
      <c r="D3" s="347"/>
      <c r="E3" s="347"/>
      <c r="F3" s="347"/>
      <c r="G3" s="347"/>
      <c r="H3" s="347"/>
      <c r="I3" s="347"/>
      <c r="J3" s="347"/>
      <c r="K3" s="347"/>
      <c r="L3" s="347"/>
      <c r="M3"/>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row>
    <row r="4" spans="1:52" x14ac:dyDescent="0.2">
      <c r="A4" s="348" t="str">
        <f>IF('Budget Calculator Spreadsheet'!W212="No", "", "Again please keep in mind that the suggestions offered here are limited to the information you have provided in this budgeting tool and are intended only as general guidance, not specific advice. Only you can decide what is best for you and your family.")</f>
        <v>Again please keep in mind that the suggestions offered here are limited to the information you have provided in this budgeting tool and are intended only as general guidance, not specific advice. Only you can decide what is best for you and your family.</v>
      </c>
      <c r="B4" s="348"/>
      <c r="C4" s="348"/>
      <c r="D4" s="348"/>
      <c r="E4" s="348"/>
      <c r="F4" s="348"/>
      <c r="G4" s="348"/>
      <c r="H4" s="348"/>
      <c r="I4" s="348"/>
      <c r="J4" s="348"/>
      <c r="K4" s="348"/>
      <c r="L4" s="348"/>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row>
    <row r="5" spans="1:52" ht="21" customHeight="1" x14ac:dyDescent="0.2">
      <c r="A5" s="348"/>
      <c r="B5" s="348"/>
      <c r="C5" s="348"/>
      <c r="D5" s="348"/>
      <c r="E5" s="348"/>
      <c r="F5" s="348"/>
      <c r="G5" s="348"/>
      <c r="H5" s="348"/>
      <c r="I5" s="348"/>
      <c r="J5" s="348"/>
      <c r="K5" s="348"/>
      <c r="L5" s="348"/>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row>
    <row r="6" spans="1:52" ht="7.5" customHeight="1" x14ac:dyDescent="0.2">
      <c r="A6" s="28"/>
      <c r="B6" s="28"/>
      <c r="C6" s="28"/>
      <c r="D6" s="28"/>
      <c r="E6" s="28"/>
      <c r="F6" s="28"/>
      <c r="G6" s="28"/>
      <c r="H6" s="28"/>
      <c r="I6" s="28"/>
      <c r="J6" s="28"/>
      <c r="K6" s="28"/>
      <c r="L6" s="28"/>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row>
    <row r="7" spans="1:52" ht="12.75" customHeight="1" x14ac:dyDescent="0.2">
      <c r="A7" s="349" t="str">
        <f>IFERROR(IF('Budget Calculator Spreadsheet'!W212="No", "", CONCATENATE('Budget Calculator Spreadsheet'!N339,'Budget Calculator Spreadsheet'!N340,'Budget Calculator Spreadsheet'!N341,'Budget Calculator Spreadsheet'!N342,'Budget Calculator Spreadsheet'!N344,'Budget Calculator Spreadsheet'!N345,'Budget Calculator Spreadsheet'!N346,'Budget Calculator Spreadsheet'!N347,'Budget Calculator Spreadsheet'!N348,'Budget Calculator Spreadsheet'!N349,'Budget Calculator Spreadsheet'!N350,'Budget Calculator Spreadsheet'!N351,'Budget Calculator Spreadsheet'!N352,'Budget Calculator Spreadsheet'!N353,'Budget Calculator Spreadsheet'!N354,'Budget Calculator Spreadsheet'!N355,'Budget Calculator Spreadsheet'!N356,'Budget Calculator Spreadsheet'!N357,'Budget Calculator Spreadsheet'!N358,'Budget Calculator Spreadsheet'!N359,'Budget Calculator Spreadsheet'!N360,'Budget Calculator Spreadsheet'!N361,'Budget Calculator Spreadsheet'!N362,'Budget Calculator Spreadsheet'!N363,'Budget Calculator Spreadsheet'!N364,'Budget Calculator Spreadsheet'!N365,'Budget Calculator Spreadsheet'!N366,'Budget Calculator Spreadsheet'!N367,'Budget Calculator Spreadsheet'!N368,'Budget Calculator Spreadsheet'!N369,'Budget Calculator Spreadsheet'!N370,'Budget Calculator Spreadsheet'!N371,'Budget Calculator Spreadsheet'!N372,'Budget Calculator Spreadsheet'!N373,'Budget Calculator Spreadsheet'!N374,'Budget Calculator Spreadsheet'!N375,'Budget Calculator Spreadsheet'!N376)),"")</f>
        <v/>
      </c>
      <c r="B7" s="349"/>
      <c r="C7" s="349"/>
      <c r="D7" s="349"/>
      <c r="E7" s="349"/>
      <c r="F7" s="349"/>
      <c r="G7" s="349"/>
      <c r="H7" s="349"/>
      <c r="I7" s="349"/>
      <c r="J7" s="349"/>
      <c r="K7" s="349"/>
      <c r="L7" s="349"/>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row>
    <row r="8" spans="1:52" x14ac:dyDescent="0.2">
      <c r="A8" s="349"/>
      <c r="B8" s="349"/>
      <c r="C8" s="349"/>
      <c r="D8" s="349"/>
      <c r="E8" s="349"/>
      <c r="F8" s="349"/>
      <c r="G8" s="349"/>
      <c r="H8" s="349"/>
      <c r="I8" s="349"/>
      <c r="J8" s="349"/>
      <c r="K8" s="349"/>
      <c r="L8" s="349"/>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row>
    <row r="9" spans="1:52" x14ac:dyDescent="0.2">
      <c r="A9" s="349"/>
      <c r="B9" s="349"/>
      <c r="C9" s="349"/>
      <c r="D9" s="349"/>
      <c r="E9" s="349"/>
      <c r="F9" s="349"/>
      <c r="G9" s="349"/>
      <c r="H9" s="349"/>
      <c r="I9" s="349"/>
      <c r="J9" s="349"/>
      <c r="K9" s="349"/>
      <c r="L9" s="349"/>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row>
    <row r="10" spans="1:52" x14ac:dyDescent="0.2">
      <c r="A10" s="349"/>
      <c r="B10" s="349"/>
      <c r="C10" s="349"/>
      <c r="D10" s="349"/>
      <c r="E10" s="349"/>
      <c r="F10" s="349"/>
      <c r="G10" s="349"/>
      <c r="H10" s="349"/>
      <c r="I10" s="349"/>
      <c r="J10" s="349"/>
      <c r="K10" s="349"/>
      <c r="L10" s="349"/>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row>
    <row r="11" spans="1:52" x14ac:dyDescent="0.2">
      <c r="A11" s="349"/>
      <c r="B11" s="349"/>
      <c r="C11" s="349"/>
      <c r="D11" s="349"/>
      <c r="E11" s="349"/>
      <c r="F11" s="349"/>
      <c r="G11" s="349"/>
      <c r="H11" s="349"/>
      <c r="I11" s="349"/>
      <c r="J11" s="349"/>
      <c r="K11" s="349"/>
      <c r="L11" s="349"/>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row>
    <row r="12" spans="1:52" x14ac:dyDescent="0.2">
      <c r="A12" s="349"/>
      <c r="B12" s="349"/>
      <c r="C12" s="349"/>
      <c r="D12" s="349"/>
      <c r="E12" s="349"/>
      <c r="F12" s="349"/>
      <c r="G12" s="349"/>
      <c r="H12" s="349"/>
      <c r="I12" s="349"/>
      <c r="J12" s="349"/>
      <c r="K12" s="349"/>
      <c r="L12" s="349"/>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row>
    <row r="13" spans="1:52" x14ac:dyDescent="0.2">
      <c r="A13" s="349"/>
      <c r="B13" s="349"/>
      <c r="C13" s="349"/>
      <c r="D13" s="349"/>
      <c r="E13" s="349"/>
      <c r="F13" s="349"/>
      <c r="G13" s="349"/>
      <c r="H13" s="349"/>
      <c r="I13" s="349"/>
      <c r="J13" s="349"/>
      <c r="K13" s="349"/>
      <c r="L13" s="349"/>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row>
    <row r="14" spans="1:52" x14ac:dyDescent="0.2">
      <c r="A14" s="349"/>
      <c r="B14" s="349"/>
      <c r="C14" s="349"/>
      <c r="D14" s="349"/>
      <c r="E14" s="349"/>
      <c r="F14" s="349"/>
      <c r="G14" s="349"/>
      <c r="H14" s="349"/>
      <c r="I14" s="349"/>
      <c r="J14" s="349"/>
      <c r="K14" s="349"/>
      <c r="L14" s="349"/>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row>
    <row r="15" spans="1:52" x14ac:dyDescent="0.2">
      <c r="A15" s="349"/>
      <c r="B15" s="349"/>
      <c r="C15" s="349"/>
      <c r="D15" s="349"/>
      <c r="E15" s="349"/>
      <c r="F15" s="349"/>
      <c r="G15" s="349"/>
      <c r="H15" s="349"/>
      <c r="I15" s="349"/>
      <c r="J15" s="349"/>
      <c r="K15" s="349"/>
      <c r="L15" s="349"/>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row>
    <row r="16" spans="1:52" x14ac:dyDescent="0.2">
      <c r="A16" s="349"/>
      <c r="B16" s="349"/>
      <c r="C16" s="349"/>
      <c r="D16" s="349"/>
      <c r="E16" s="349"/>
      <c r="F16" s="349"/>
      <c r="G16" s="349"/>
      <c r="H16" s="349"/>
      <c r="I16" s="349"/>
      <c r="J16" s="349"/>
      <c r="K16" s="349"/>
      <c r="L16" s="349"/>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row>
    <row r="17" spans="1:52" x14ac:dyDescent="0.2">
      <c r="A17" s="349"/>
      <c r="B17" s="349"/>
      <c r="C17" s="349"/>
      <c r="D17" s="349"/>
      <c r="E17" s="349"/>
      <c r="F17" s="349"/>
      <c r="G17" s="349"/>
      <c r="H17" s="349"/>
      <c r="I17" s="349"/>
      <c r="J17" s="349"/>
      <c r="K17" s="349"/>
      <c r="L17" s="349"/>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row>
    <row r="18" spans="1:52" x14ac:dyDescent="0.2">
      <c r="A18" s="349"/>
      <c r="B18" s="349"/>
      <c r="C18" s="349"/>
      <c r="D18" s="349"/>
      <c r="E18" s="349"/>
      <c r="F18" s="349"/>
      <c r="G18" s="349"/>
      <c r="H18" s="349"/>
      <c r="I18" s="349"/>
      <c r="J18" s="349"/>
      <c r="K18" s="349"/>
      <c r="L18" s="349"/>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row>
    <row r="19" spans="1:52" x14ac:dyDescent="0.2">
      <c r="A19" s="349"/>
      <c r="B19" s="349"/>
      <c r="C19" s="349"/>
      <c r="D19" s="349"/>
      <c r="E19" s="349"/>
      <c r="F19" s="349"/>
      <c r="G19" s="349"/>
      <c r="H19" s="349"/>
      <c r="I19" s="349"/>
      <c r="J19" s="349"/>
      <c r="K19" s="349"/>
      <c r="L19" s="349"/>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row>
    <row r="20" spans="1:52" x14ac:dyDescent="0.2">
      <c r="A20" s="349"/>
      <c r="B20" s="349"/>
      <c r="C20" s="349"/>
      <c r="D20" s="349"/>
      <c r="E20" s="349"/>
      <c r="F20" s="349"/>
      <c r="G20" s="349"/>
      <c r="H20" s="349"/>
      <c r="I20" s="349"/>
      <c r="J20" s="349"/>
      <c r="K20" s="349"/>
      <c r="L20" s="349"/>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row>
    <row r="21" spans="1:52" x14ac:dyDescent="0.2">
      <c r="A21" s="349"/>
      <c r="B21" s="349"/>
      <c r="C21" s="349"/>
      <c r="D21" s="349"/>
      <c r="E21" s="349"/>
      <c r="F21" s="349"/>
      <c r="G21" s="349"/>
      <c r="H21" s="349"/>
      <c r="I21" s="349"/>
      <c r="J21" s="349"/>
      <c r="K21" s="349"/>
      <c r="L21" s="349"/>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row>
    <row r="22" spans="1:52" x14ac:dyDescent="0.2">
      <c r="A22" s="349"/>
      <c r="B22" s="349"/>
      <c r="C22" s="349"/>
      <c r="D22" s="349"/>
      <c r="E22" s="349"/>
      <c r="F22" s="349"/>
      <c r="G22" s="349"/>
      <c r="H22" s="349"/>
      <c r="I22" s="349"/>
      <c r="J22" s="349"/>
      <c r="K22" s="349"/>
      <c r="L22" s="349"/>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row>
    <row r="23" spans="1:52" x14ac:dyDescent="0.2">
      <c r="A23" s="349"/>
      <c r="B23" s="349"/>
      <c r="C23" s="349"/>
      <c r="D23" s="349"/>
      <c r="E23" s="349"/>
      <c r="F23" s="349"/>
      <c r="G23" s="349"/>
      <c r="H23" s="349"/>
      <c r="I23" s="349"/>
      <c r="J23" s="349"/>
      <c r="K23" s="349"/>
      <c r="L23" s="349"/>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row>
    <row r="24" spans="1:52" x14ac:dyDescent="0.2">
      <c r="A24" s="349"/>
      <c r="B24" s="349"/>
      <c r="C24" s="349"/>
      <c r="D24" s="349"/>
      <c r="E24" s="349"/>
      <c r="F24" s="349"/>
      <c r="G24" s="349"/>
      <c r="H24" s="349"/>
      <c r="I24" s="349"/>
      <c r="J24" s="349"/>
      <c r="K24" s="349"/>
      <c r="L24" s="349"/>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row>
    <row r="25" spans="1:52" x14ac:dyDescent="0.2">
      <c r="A25" s="349"/>
      <c r="B25" s="349"/>
      <c r="C25" s="349"/>
      <c r="D25" s="349"/>
      <c r="E25" s="349"/>
      <c r="F25" s="349"/>
      <c r="G25" s="349"/>
      <c r="H25" s="349"/>
      <c r="I25" s="349"/>
      <c r="J25" s="349"/>
      <c r="K25" s="349"/>
      <c r="L25" s="349"/>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row>
    <row r="26" spans="1:52" x14ac:dyDescent="0.2">
      <c r="A26" s="349"/>
      <c r="B26" s="349"/>
      <c r="C26" s="349"/>
      <c r="D26" s="349"/>
      <c r="E26" s="349"/>
      <c r="F26" s="349"/>
      <c r="G26" s="349"/>
      <c r="H26" s="349"/>
      <c r="I26" s="349"/>
      <c r="J26" s="349"/>
      <c r="K26" s="349"/>
      <c r="L26" s="349"/>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row>
    <row r="27" spans="1:52" x14ac:dyDescent="0.2">
      <c r="A27" s="349"/>
      <c r="B27" s="349"/>
      <c r="C27" s="349"/>
      <c r="D27" s="349"/>
      <c r="E27" s="349"/>
      <c r="F27" s="349"/>
      <c r="G27" s="349"/>
      <c r="H27" s="349"/>
      <c r="I27" s="349"/>
      <c r="J27" s="349"/>
      <c r="K27" s="349"/>
      <c r="L27" s="349"/>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row>
    <row r="28" spans="1:52" x14ac:dyDescent="0.2">
      <c r="A28" s="349"/>
      <c r="B28" s="349"/>
      <c r="C28" s="349"/>
      <c r="D28" s="349"/>
      <c r="E28" s="349"/>
      <c r="F28" s="349"/>
      <c r="G28" s="349"/>
      <c r="H28" s="349"/>
      <c r="I28" s="349"/>
      <c r="J28" s="349"/>
      <c r="K28" s="349"/>
      <c r="L28" s="349"/>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row>
    <row r="29" spans="1:52" x14ac:dyDescent="0.2">
      <c r="A29" s="349"/>
      <c r="B29" s="349"/>
      <c r="C29" s="349"/>
      <c r="D29" s="349"/>
      <c r="E29" s="349"/>
      <c r="F29" s="349"/>
      <c r="G29" s="349"/>
      <c r="H29" s="349"/>
      <c r="I29" s="349"/>
      <c r="J29" s="349"/>
      <c r="K29" s="349"/>
      <c r="L29" s="349"/>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row>
    <row r="30" spans="1:52" x14ac:dyDescent="0.2">
      <c r="A30" s="349"/>
      <c r="B30" s="349"/>
      <c r="C30" s="349"/>
      <c r="D30" s="349"/>
      <c r="E30" s="349"/>
      <c r="F30" s="349"/>
      <c r="G30" s="349"/>
      <c r="H30" s="349"/>
      <c r="I30" s="349"/>
      <c r="J30" s="349"/>
      <c r="K30" s="349"/>
      <c r="L30" s="349"/>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row>
    <row r="31" spans="1:52" x14ac:dyDescent="0.2">
      <c r="A31" s="349"/>
      <c r="B31" s="349"/>
      <c r="C31" s="349"/>
      <c r="D31" s="349"/>
      <c r="E31" s="349"/>
      <c r="F31" s="349"/>
      <c r="G31" s="349"/>
      <c r="H31" s="349"/>
      <c r="I31" s="349"/>
      <c r="J31" s="349"/>
      <c r="K31" s="349"/>
      <c r="L31" s="349"/>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row>
    <row r="32" spans="1:52" x14ac:dyDescent="0.2">
      <c r="A32" s="349"/>
      <c r="B32" s="349"/>
      <c r="C32" s="349"/>
      <c r="D32" s="349"/>
      <c r="E32" s="349"/>
      <c r="F32" s="349"/>
      <c r="G32" s="349"/>
      <c r="H32" s="349"/>
      <c r="I32" s="349"/>
      <c r="J32" s="349"/>
      <c r="K32" s="349"/>
      <c r="L32" s="349"/>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row>
    <row r="33" spans="1:52" x14ac:dyDescent="0.2">
      <c r="A33" s="349"/>
      <c r="B33" s="349"/>
      <c r="C33" s="349"/>
      <c r="D33" s="349"/>
      <c r="E33" s="349"/>
      <c r="F33" s="349"/>
      <c r="G33" s="349"/>
      <c r="H33" s="349"/>
      <c r="I33" s="349"/>
      <c r="J33" s="349"/>
      <c r="K33" s="349"/>
      <c r="L33" s="349"/>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row>
    <row r="34" spans="1:52" x14ac:dyDescent="0.2">
      <c r="A34" s="349"/>
      <c r="B34" s="349"/>
      <c r="C34" s="349"/>
      <c r="D34" s="349"/>
      <c r="E34" s="349"/>
      <c r="F34" s="349"/>
      <c r="G34" s="349"/>
      <c r="H34" s="349"/>
      <c r="I34" s="349"/>
      <c r="J34" s="349"/>
      <c r="K34" s="349"/>
      <c r="L34" s="349"/>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row>
    <row r="35" spans="1:52" x14ac:dyDescent="0.2">
      <c r="A35" s="349"/>
      <c r="B35" s="349"/>
      <c r="C35" s="349"/>
      <c r="D35" s="349"/>
      <c r="E35" s="349"/>
      <c r="F35" s="349"/>
      <c r="G35" s="349"/>
      <c r="H35" s="349"/>
      <c r="I35" s="349"/>
      <c r="J35" s="349"/>
      <c r="K35" s="349"/>
      <c r="L35" s="349"/>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row>
    <row r="36" spans="1:52" x14ac:dyDescent="0.2">
      <c r="A36" s="349"/>
      <c r="B36" s="349"/>
      <c r="C36" s="349"/>
      <c r="D36" s="349"/>
      <c r="E36" s="349"/>
      <c r="F36" s="349"/>
      <c r="G36" s="349"/>
      <c r="H36" s="349"/>
      <c r="I36" s="349"/>
      <c r="J36" s="349"/>
      <c r="K36" s="349"/>
      <c r="L36" s="349"/>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row>
    <row r="37" spans="1:52" x14ac:dyDescent="0.2">
      <c r="A37" s="349"/>
      <c r="B37" s="349"/>
      <c r="C37" s="349"/>
      <c r="D37" s="349"/>
      <c r="E37" s="349"/>
      <c r="F37" s="349"/>
      <c r="G37" s="349"/>
      <c r="H37" s="349"/>
      <c r="I37" s="349"/>
      <c r="J37" s="349"/>
      <c r="K37" s="349"/>
      <c r="L37" s="349"/>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row>
    <row r="38" spans="1:52" x14ac:dyDescent="0.2">
      <c r="A38" s="349"/>
      <c r="B38" s="349"/>
      <c r="C38" s="349"/>
      <c r="D38" s="349"/>
      <c r="E38" s="349"/>
      <c r="F38" s="349"/>
      <c r="G38" s="349"/>
      <c r="H38" s="349"/>
      <c r="I38" s="349"/>
      <c r="J38" s="349"/>
      <c r="K38" s="349"/>
      <c r="L38" s="349"/>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row>
    <row r="39" spans="1:52" x14ac:dyDescent="0.2">
      <c r="A39" s="349"/>
      <c r="B39" s="349"/>
      <c r="C39" s="349"/>
      <c r="D39" s="349"/>
      <c r="E39" s="349"/>
      <c r="F39" s="349"/>
      <c r="G39" s="349"/>
      <c r="H39" s="349"/>
      <c r="I39" s="349"/>
      <c r="J39" s="349"/>
      <c r="K39" s="349"/>
      <c r="L39" s="349"/>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row>
    <row r="40" spans="1:52" x14ac:dyDescent="0.2">
      <c r="A40" s="349"/>
      <c r="B40" s="349"/>
      <c r="C40" s="349"/>
      <c r="D40" s="349"/>
      <c r="E40" s="349"/>
      <c r="F40" s="349"/>
      <c r="G40" s="349"/>
      <c r="H40" s="349"/>
      <c r="I40" s="349"/>
      <c r="J40" s="349"/>
      <c r="K40" s="349"/>
      <c r="L40" s="349"/>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row>
    <row r="41" spans="1:52" x14ac:dyDescent="0.2">
      <c r="A41" s="349"/>
      <c r="B41" s="349"/>
      <c r="C41" s="349"/>
      <c r="D41" s="349"/>
      <c r="E41" s="349"/>
      <c r="F41" s="349"/>
      <c r="G41" s="349"/>
      <c r="H41" s="349"/>
      <c r="I41" s="349"/>
      <c r="J41" s="349"/>
      <c r="K41" s="349"/>
      <c r="L41" s="349"/>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row>
    <row r="42" spans="1:52" x14ac:dyDescent="0.2">
      <c r="A42" s="349"/>
      <c r="B42" s="349"/>
      <c r="C42" s="349"/>
      <c r="D42" s="349"/>
      <c r="E42" s="349"/>
      <c r="F42" s="349"/>
      <c r="G42" s="349"/>
      <c r="H42" s="349"/>
      <c r="I42" s="349"/>
      <c r="J42" s="349"/>
      <c r="K42" s="349"/>
      <c r="L42" s="349"/>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row>
    <row r="43" spans="1:52" x14ac:dyDescent="0.2">
      <c r="A43" s="349"/>
      <c r="B43" s="349"/>
      <c r="C43" s="349"/>
      <c r="D43" s="349"/>
      <c r="E43" s="349"/>
      <c r="F43" s="349"/>
      <c r="G43" s="349"/>
      <c r="H43" s="349"/>
      <c r="I43" s="349"/>
      <c r="J43" s="349"/>
      <c r="K43" s="349"/>
      <c r="L43" s="349"/>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row>
    <row r="44" spans="1:52" x14ac:dyDescent="0.2">
      <c r="A44" s="349"/>
      <c r="B44" s="349"/>
      <c r="C44" s="349"/>
      <c r="D44" s="349"/>
      <c r="E44" s="349"/>
      <c r="F44" s="349"/>
      <c r="G44" s="349"/>
      <c r="H44" s="349"/>
      <c r="I44" s="349"/>
      <c r="J44" s="349"/>
      <c r="K44" s="349"/>
      <c r="L44" s="349"/>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row>
    <row r="45" spans="1:52" x14ac:dyDescent="0.2">
      <c r="A45" s="349"/>
      <c r="B45" s="349"/>
      <c r="C45" s="349"/>
      <c r="D45" s="349"/>
      <c r="E45" s="349"/>
      <c r="F45" s="349"/>
      <c r="G45" s="349"/>
      <c r="H45" s="349"/>
      <c r="I45" s="349"/>
      <c r="J45" s="349"/>
      <c r="K45" s="349"/>
      <c r="L45" s="349"/>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row>
    <row r="46" spans="1:52" x14ac:dyDescent="0.2">
      <c r="A46" s="349"/>
      <c r="B46" s="349"/>
      <c r="C46" s="349"/>
      <c r="D46" s="349"/>
      <c r="E46" s="349"/>
      <c r="F46" s="349"/>
      <c r="G46" s="349"/>
      <c r="H46" s="349"/>
      <c r="I46" s="349"/>
      <c r="J46" s="349"/>
      <c r="K46" s="349"/>
      <c r="L46" s="349"/>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row>
    <row r="47" spans="1:52" x14ac:dyDescent="0.2">
      <c r="A47" s="349"/>
      <c r="B47" s="349"/>
      <c r="C47" s="349"/>
      <c r="D47" s="349"/>
      <c r="E47" s="349"/>
      <c r="F47" s="349"/>
      <c r="G47" s="349"/>
      <c r="H47" s="349"/>
      <c r="I47" s="349"/>
      <c r="J47" s="349"/>
      <c r="K47" s="349"/>
      <c r="L47" s="349"/>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row>
    <row r="48" spans="1:52" x14ac:dyDescent="0.2">
      <c r="A48" s="349"/>
      <c r="B48" s="349"/>
      <c r="C48" s="349"/>
      <c r="D48" s="349"/>
      <c r="E48" s="349"/>
      <c r="F48" s="349"/>
      <c r="G48" s="349"/>
      <c r="H48" s="349"/>
      <c r="I48" s="349"/>
      <c r="J48" s="349"/>
      <c r="K48" s="349"/>
      <c r="L48" s="349"/>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row>
    <row r="49" spans="1:52" x14ac:dyDescent="0.2">
      <c r="A49" s="349"/>
      <c r="B49" s="349"/>
      <c r="C49" s="349"/>
      <c r="D49" s="349"/>
      <c r="E49" s="349"/>
      <c r="F49" s="349"/>
      <c r="G49" s="349"/>
      <c r="H49" s="349"/>
      <c r="I49" s="349"/>
      <c r="J49" s="349"/>
      <c r="K49" s="349"/>
      <c r="L49" s="349"/>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row>
    <row r="50" spans="1:52" x14ac:dyDescent="0.2">
      <c r="A50" s="349"/>
      <c r="B50" s="349"/>
      <c r="C50" s="349"/>
      <c r="D50" s="349"/>
      <c r="E50" s="349"/>
      <c r="F50" s="349"/>
      <c r="G50" s="349"/>
      <c r="H50" s="349"/>
      <c r="I50" s="349"/>
      <c r="J50" s="349"/>
      <c r="K50" s="349"/>
      <c r="L50" s="349"/>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row>
    <row r="51" spans="1:52" x14ac:dyDescent="0.2">
      <c r="A51" s="349"/>
      <c r="B51" s="349"/>
      <c r="C51" s="349"/>
      <c r="D51" s="349"/>
      <c r="E51" s="349"/>
      <c r="F51" s="349"/>
      <c r="G51" s="349"/>
      <c r="H51" s="349"/>
      <c r="I51" s="349"/>
      <c r="J51" s="349"/>
      <c r="K51" s="349"/>
      <c r="L51" s="349"/>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row>
    <row r="52" spans="1:52" x14ac:dyDescent="0.2">
      <c r="A52" s="349"/>
      <c r="B52" s="349"/>
      <c r="C52" s="349"/>
      <c r="D52" s="349"/>
      <c r="E52" s="349"/>
      <c r="F52" s="349"/>
      <c r="G52" s="349"/>
      <c r="H52" s="349"/>
      <c r="I52" s="349"/>
      <c r="J52" s="349"/>
      <c r="K52" s="349"/>
      <c r="L52" s="349"/>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row>
    <row r="53" spans="1:52" x14ac:dyDescent="0.2">
      <c r="A53" s="349"/>
      <c r="B53" s="349"/>
      <c r="C53" s="349"/>
      <c r="D53" s="349"/>
      <c r="E53" s="349"/>
      <c r="F53" s="349"/>
      <c r="G53" s="349"/>
      <c r="H53" s="349"/>
      <c r="I53" s="349"/>
      <c r="J53" s="349"/>
      <c r="K53" s="349"/>
      <c r="L53" s="349"/>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row>
    <row r="54" spans="1:52" x14ac:dyDescent="0.2">
      <c r="A54" s="349"/>
      <c r="B54" s="349"/>
      <c r="C54" s="349"/>
      <c r="D54" s="349"/>
      <c r="E54" s="349"/>
      <c r="F54" s="349"/>
      <c r="G54" s="349"/>
      <c r="H54" s="349"/>
      <c r="I54" s="349"/>
      <c r="J54" s="349"/>
      <c r="K54" s="349"/>
      <c r="L54" s="349"/>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row>
    <row r="55" spans="1:52" x14ac:dyDescent="0.2">
      <c r="A55" s="349"/>
      <c r="B55" s="349"/>
      <c r="C55" s="349"/>
      <c r="D55" s="349"/>
      <c r="E55" s="349"/>
      <c r="F55" s="349"/>
      <c r="G55" s="349"/>
      <c r="H55" s="349"/>
      <c r="I55" s="349"/>
      <c r="J55" s="349"/>
      <c r="K55" s="349"/>
      <c r="L55" s="349"/>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row>
    <row r="56" spans="1:52" x14ac:dyDescent="0.2">
      <c r="A56" s="349"/>
      <c r="B56" s="349"/>
      <c r="C56" s="349"/>
      <c r="D56" s="349"/>
      <c r="E56" s="349"/>
      <c r="F56" s="349"/>
      <c r="G56" s="349"/>
      <c r="H56" s="349"/>
      <c r="I56" s="349"/>
      <c r="J56" s="349"/>
      <c r="K56" s="349"/>
      <c r="L56" s="349"/>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row>
    <row r="57" spans="1:52" x14ac:dyDescent="0.2">
      <c r="A57" s="349"/>
      <c r="B57" s="349"/>
      <c r="C57" s="349"/>
      <c r="D57" s="349"/>
      <c r="E57" s="349"/>
      <c r="F57" s="349"/>
      <c r="G57" s="349"/>
      <c r="H57" s="349"/>
      <c r="I57" s="349"/>
      <c r="J57" s="349"/>
      <c r="K57" s="349"/>
      <c r="L57" s="349"/>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row>
    <row r="58" spans="1:52" x14ac:dyDescent="0.2">
      <c r="A58" s="349"/>
      <c r="B58" s="349"/>
      <c r="C58" s="349"/>
      <c r="D58" s="349"/>
      <c r="E58" s="349"/>
      <c r="F58" s="349"/>
      <c r="G58" s="349"/>
      <c r="H58" s="349"/>
      <c r="I58" s="349"/>
      <c r="J58" s="349"/>
      <c r="K58" s="349"/>
      <c r="L58" s="349"/>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row>
    <row r="59" spans="1:52" x14ac:dyDescent="0.2">
      <c r="A59" s="349"/>
      <c r="B59" s="349"/>
      <c r="C59" s="349"/>
      <c r="D59" s="349"/>
      <c r="E59" s="349"/>
      <c r="F59" s="349"/>
      <c r="G59" s="349"/>
      <c r="H59" s="349"/>
      <c r="I59" s="349"/>
      <c r="J59" s="349"/>
      <c r="K59" s="349"/>
      <c r="L59" s="349"/>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row>
    <row r="60" spans="1:52" x14ac:dyDescent="0.2">
      <c r="A60" s="349"/>
      <c r="B60" s="349"/>
      <c r="C60" s="349"/>
      <c r="D60" s="349"/>
      <c r="E60" s="349"/>
      <c r="F60" s="349"/>
      <c r="G60" s="349"/>
      <c r="H60" s="349"/>
      <c r="I60" s="349"/>
      <c r="J60" s="349"/>
      <c r="K60" s="349"/>
      <c r="L60" s="349"/>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row>
    <row r="61" spans="1:52" x14ac:dyDescent="0.2">
      <c r="A61" s="349"/>
      <c r="B61" s="349"/>
      <c r="C61" s="349"/>
      <c r="D61" s="349"/>
      <c r="E61" s="349"/>
      <c r="F61" s="349"/>
      <c r="G61" s="349"/>
      <c r="H61" s="349"/>
      <c r="I61" s="349"/>
      <c r="J61" s="349"/>
      <c r="K61" s="349"/>
      <c r="L61" s="349"/>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row>
    <row r="62" spans="1:52" x14ac:dyDescent="0.2">
      <c r="A62" s="349"/>
      <c r="B62" s="349"/>
      <c r="C62" s="349"/>
      <c r="D62" s="349"/>
      <c r="E62" s="349"/>
      <c r="F62" s="349"/>
      <c r="G62" s="349"/>
      <c r="H62" s="349"/>
      <c r="I62" s="349"/>
      <c r="J62" s="349"/>
      <c r="K62" s="349"/>
      <c r="L62" s="349"/>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row>
    <row r="63" spans="1:52" x14ac:dyDescent="0.2">
      <c r="A63" s="349"/>
      <c r="B63" s="349"/>
      <c r="C63" s="349"/>
      <c r="D63" s="349"/>
      <c r="E63" s="349"/>
      <c r="F63" s="349"/>
      <c r="G63" s="349"/>
      <c r="H63" s="349"/>
      <c r="I63" s="349"/>
      <c r="J63" s="349"/>
      <c r="K63" s="349"/>
      <c r="L63" s="349"/>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row>
    <row r="64" spans="1:52" x14ac:dyDescent="0.2">
      <c r="A64" s="349"/>
      <c r="B64" s="349"/>
      <c r="C64" s="349"/>
      <c r="D64" s="349"/>
      <c r="E64" s="349"/>
      <c r="F64" s="349"/>
      <c r="G64" s="349"/>
      <c r="H64" s="349"/>
      <c r="I64" s="349"/>
      <c r="J64" s="349"/>
      <c r="K64" s="349"/>
      <c r="L64" s="349"/>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row>
    <row r="65" spans="1:52" x14ac:dyDescent="0.2">
      <c r="A65" s="349"/>
      <c r="B65" s="349"/>
      <c r="C65" s="349"/>
      <c r="D65" s="349"/>
      <c r="E65" s="349"/>
      <c r="F65" s="349"/>
      <c r="G65" s="349"/>
      <c r="H65" s="349"/>
      <c r="I65" s="349"/>
      <c r="J65" s="349"/>
      <c r="K65" s="349"/>
      <c r="L65" s="349"/>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row>
    <row r="66" spans="1:52" x14ac:dyDescent="0.2">
      <c r="A66" s="349"/>
      <c r="B66" s="349"/>
      <c r="C66" s="349"/>
      <c r="D66" s="349"/>
      <c r="E66" s="349"/>
      <c r="F66" s="349"/>
      <c r="G66" s="349"/>
      <c r="H66" s="349"/>
      <c r="I66" s="349"/>
      <c r="J66" s="349"/>
      <c r="K66" s="349"/>
      <c r="L66" s="349"/>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row>
    <row r="67" spans="1:52" x14ac:dyDescent="0.2">
      <c r="A67" s="349"/>
      <c r="B67" s="349"/>
      <c r="C67" s="349"/>
      <c r="D67" s="349"/>
      <c r="E67" s="349"/>
      <c r="F67" s="349"/>
      <c r="G67" s="349"/>
      <c r="H67" s="349"/>
      <c r="I67" s="349"/>
      <c r="J67" s="349"/>
      <c r="K67" s="349"/>
      <c r="L67" s="349"/>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row>
    <row r="68" spans="1:52" x14ac:dyDescent="0.2">
      <c r="A68" s="349"/>
      <c r="B68" s="349"/>
      <c r="C68" s="349"/>
      <c r="D68" s="349"/>
      <c r="E68" s="349"/>
      <c r="F68" s="349"/>
      <c r="G68" s="349"/>
      <c r="H68" s="349"/>
      <c r="I68" s="349"/>
      <c r="J68" s="349"/>
      <c r="K68" s="349"/>
      <c r="L68" s="349"/>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row>
    <row r="69" spans="1:52" x14ac:dyDescent="0.2">
      <c r="A69" s="349"/>
      <c r="B69" s="349"/>
      <c r="C69" s="349"/>
      <c r="D69" s="349"/>
      <c r="E69" s="349"/>
      <c r="F69" s="349"/>
      <c r="G69" s="349"/>
      <c r="H69" s="349"/>
      <c r="I69" s="349"/>
      <c r="J69" s="349"/>
      <c r="K69" s="349"/>
      <c r="L69" s="349"/>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row>
    <row r="70" spans="1:52" x14ac:dyDescent="0.2">
      <c r="A70" s="349"/>
      <c r="B70" s="349"/>
      <c r="C70" s="349"/>
      <c r="D70" s="349"/>
      <c r="E70" s="349"/>
      <c r="F70" s="349"/>
      <c r="G70" s="349"/>
      <c r="H70" s="349"/>
      <c r="I70" s="349"/>
      <c r="J70" s="349"/>
      <c r="K70" s="349"/>
      <c r="L70" s="349"/>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row>
    <row r="71" spans="1:52" x14ac:dyDescent="0.2">
      <c r="A71" s="349"/>
      <c r="B71" s="349"/>
      <c r="C71" s="349"/>
      <c r="D71" s="349"/>
      <c r="E71" s="349"/>
      <c r="F71" s="349"/>
      <c r="G71" s="349"/>
      <c r="H71" s="349"/>
      <c r="I71" s="349"/>
      <c r="J71" s="349"/>
      <c r="K71" s="349"/>
      <c r="L71" s="349"/>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27"/>
      <c r="AV71" s="27"/>
      <c r="AW71" s="27"/>
      <c r="AX71" s="27"/>
      <c r="AY71" s="27"/>
      <c r="AZ71" s="27"/>
    </row>
    <row r="72" spans="1:52" x14ac:dyDescent="0.2">
      <c r="A72" s="349"/>
      <c r="B72" s="349"/>
      <c r="C72" s="349"/>
      <c r="D72" s="349"/>
      <c r="E72" s="349"/>
      <c r="F72" s="349"/>
      <c r="G72" s="349"/>
      <c r="H72" s="349"/>
      <c r="I72" s="349"/>
      <c r="J72" s="349"/>
      <c r="K72" s="349"/>
      <c r="L72" s="349"/>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row>
    <row r="73" spans="1:52" x14ac:dyDescent="0.2">
      <c r="A73" s="349"/>
      <c r="B73" s="349"/>
      <c r="C73" s="349"/>
      <c r="D73" s="349"/>
      <c r="E73" s="349"/>
      <c r="F73" s="349"/>
      <c r="G73" s="349"/>
      <c r="H73" s="349"/>
      <c r="I73" s="349"/>
      <c r="J73" s="349"/>
      <c r="K73" s="349"/>
      <c r="L73" s="349"/>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row>
    <row r="74" spans="1:52" x14ac:dyDescent="0.2">
      <c r="A74" s="349"/>
      <c r="B74" s="349"/>
      <c r="C74" s="349"/>
      <c r="D74" s="349"/>
      <c r="E74" s="349"/>
      <c r="F74" s="349"/>
      <c r="G74" s="349"/>
      <c r="H74" s="349"/>
      <c r="I74" s="349"/>
      <c r="J74" s="349"/>
      <c r="K74" s="349"/>
      <c r="L74" s="349"/>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row>
    <row r="75" spans="1:52" x14ac:dyDescent="0.2">
      <c r="A75" s="349"/>
      <c r="B75" s="349"/>
      <c r="C75" s="349"/>
      <c r="D75" s="349"/>
      <c r="E75" s="349"/>
      <c r="F75" s="349"/>
      <c r="G75" s="349"/>
      <c r="H75" s="349"/>
      <c r="I75" s="349"/>
      <c r="J75" s="349"/>
      <c r="K75" s="349"/>
      <c r="L75" s="349"/>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row>
    <row r="76" spans="1:52" x14ac:dyDescent="0.2">
      <c r="A76" s="349"/>
      <c r="B76" s="349"/>
      <c r="C76" s="349"/>
      <c r="D76" s="349"/>
      <c r="E76" s="349"/>
      <c r="F76" s="349"/>
      <c r="G76" s="349"/>
      <c r="H76" s="349"/>
      <c r="I76" s="349"/>
      <c r="J76" s="349"/>
      <c r="K76" s="349"/>
      <c r="L76" s="349"/>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row>
    <row r="77" spans="1:52" x14ac:dyDescent="0.2">
      <c r="A77" s="349"/>
      <c r="B77" s="349"/>
      <c r="C77" s="349"/>
      <c r="D77" s="349"/>
      <c r="E77" s="349"/>
      <c r="F77" s="349"/>
      <c r="G77" s="349"/>
      <c r="H77" s="349"/>
      <c r="I77" s="349"/>
      <c r="J77" s="349"/>
      <c r="K77" s="349"/>
      <c r="L77" s="349"/>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row>
    <row r="78" spans="1:52" x14ac:dyDescent="0.2">
      <c r="A78" s="349"/>
      <c r="B78" s="349"/>
      <c r="C78" s="349"/>
      <c r="D78" s="349"/>
      <c r="E78" s="349"/>
      <c r="F78" s="349"/>
      <c r="G78" s="349"/>
      <c r="H78" s="349"/>
      <c r="I78" s="349"/>
      <c r="J78" s="349"/>
      <c r="K78" s="349"/>
      <c r="L78" s="349"/>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row>
    <row r="79" spans="1:52" x14ac:dyDescent="0.2">
      <c r="A79" s="349"/>
      <c r="B79" s="349"/>
      <c r="C79" s="349"/>
      <c r="D79" s="349"/>
      <c r="E79" s="349"/>
      <c r="F79" s="349"/>
      <c r="G79" s="349"/>
      <c r="H79" s="349"/>
      <c r="I79" s="349"/>
      <c r="J79" s="349"/>
      <c r="K79" s="349"/>
      <c r="L79" s="349"/>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row>
    <row r="80" spans="1:52" x14ac:dyDescent="0.2">
      <c r="A80" s="349"/>
      <c r="B80" s="349"/>
      <c r="C80" s="349"/>
      <c r="D80" s="349"/>
      <c r="E80" s="349"/>
      <c r="F80" s="349"/>
      <c r="G80" s="349"/>
      <c r="H80" s="349"/>
      <c r="I80" s="349"/>
      <c r="J80" s="349"/>
      <c r="K80" s="349"/>
      <c r="L80" s="349"/>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27"/>
    </row>
    <row r="81" spans="1:52" x14ac:dyDescent="0.2">
      <c r="A81" s="349"/>
      <c r="B81" s="349"/>
      <c r="C81" s="349"/>
      <c r="D81" s="349"/>
      <c r="E81" s="349"/>
      <c r="F81" s="349"/>
      <c r="G81" s="349"/>
      <c r="H81" s="349"/>
      <c r="I81" s="349"/>
      <c r="J81" s="349"/>
      <c r="K81" s="349"/>
      <c r="L81" s="349"/>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row>
    <row r="82" spans="1:52" x14ac:dyDescent="0.2">
      <c r="A82" s="349"/>
      <c r="B82" s="349"/>
      <c r="C82" s="349"/>
      <c r="D82" s="349"/>
      <c r="E82" s="349"/>
      <c r="F82" s="349"/>
      <c r="G82" s="349"/>
      <c r="H82" s="349"/>
      <c r="I82" s="349"/>
      <c r="J82" s="349"/>
      <c r="K82" s="349"/>
      <c r="L82" s="349"/>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row>
    <row r="83" spans="1:52" x14ac:dyDescent="0.2">
      <c r="A83" s="349"/>
      <c r="B83" s="349"/>
      <c r="C83" s="349"/>
      <c r="D83" s="349"/>
      <c r="E83" s="349"/>
      <c r="F83" s="349"/>
      <c r="G83" s="349"/>
      <c r="H83" s="349"/>
      <c r="I83" s="349"/>
      <c r="J83" s="349"/>
      <c r="K83" s="349"/>
      <c r="L83" s="349"/>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row>
    <row r="84" spans="1:52" x14ac:dyDescent="0.2">
      <c r="A84" s="349"/>
      <c r="B84" s="349"/>
      <c r="C84" s="349"/>
      <c r="D84" s="349"/>
      <c r="E84" s="349"/>
      <c r="F84" s="349"/>
      <c r="G84" s="349"/>
      <c r="H84" s="349"/>
      <c r="I84" s="349"/>
      <c r="J84" s="349"/>
      <c r="K84" s="349"/>
      <c r="L84" s="349"/>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row>
    <row r="85" spans="1:52" x14ac:dyDescent="0.2">
      <c r="A85" s="349"/>
      <c r="B85" s="349"/>
      <c r="C85" s="349"/>
      <c r="D85" s="349"/>
      <c r="E85" s="349"/>
      <c r="F85" s="349"/>
      <c r="G85" s="349"/>
      <c r="H85" s="349"/>
      <c r="I85" s="349"/>
      <c r="J85" s="349"/>
      <c r="K85" s="349"/>
      <c r="L85" s="349"/>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c r="AY85" s="27"/>
      <c r="AZ85" s="27"/>
    </row>
    <row r="86" spans="1:52" x14ac:dyDescent="0.2">
      <c r="A86" s="349"/>
      <c r="B86" s="349"/>
      <c r="C86" s="349"/>
      <c r="D86" s="349"/>
      <c r="E86" s="349"/>
      <c r="F86" s="349"/>
      <c r="G86" s="349"/>
      <c r="H86" s="349"/>
      <c r="I86" s="349"/>
      <c r="J86" s="349"/>
      <c r="K86" s="349"/>
      <c r="L86" s="349"/>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row>
    <row r="87" spans="1:52" x14ac:dyDescent="0.2">
      <c r="A87" s="349"/>
      <c r="B87" s="349"/>
      <c r="C87" s="349"/>
      <c r="D87" s="349"/>
      <c r="E87" s="349"/>
      <c r="F87" s="349"/>
      <c r="G87" s="349"/>
      <c r="H87" s="349"/>
      <c r="I87" s="349"/>
      <c r="J87" s="349"/>
      <c r="K87" s="349"/>
      <c r="L87" s="349"/>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row>
    <row r="88" spans="1:52" x14ac:dyDescent="0.2">
      <c r="A88" s="349"/>
      <c r="B88" s="349"/>
      <c r="C88" s="349"/>
      <c r="D88" s="349"/>
      <c r="E88" s="349"/>
      <c r="F88" s="349"/>
      <c r="G88" s="349"/>
      <c r="H88" s="349"/>
      <c r="I88" s="349"/>
      <c r="J88" s="349"/>
      <c r="K88" s="349"/>
      <c r="L88" s="349"/>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row>
    <row r="89" spans="1:52" x14ac:dyDescent="0.2">
      <c r="A89" s="29"/>
      <c r="B89" s="29"/>
      <c r="C89" s="29"/>
      <c r="D89" s="29"/>
      <c r="E89" s="29"/>
      <c r="F89" s="29"/>
      <c r="G89" s="29"/>
      <c r="H89" s="29"/>
      <c r="I89" s="29"/>
      <c r="J89" s="29"/>
      <c r="K89" s="29"/>
      <c r="L89" s="29"/>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27"/>
    </row>
    <row r="90" spans="1:52" x14ac:dyDescent="0.2">
      <c r="A90" s="30"/>
      <c r="B90" s="30"/>
      <c r="C90" s="30"/>
      <c r="D90" s="30"/>
      <c r="E90" s="30"/>
      <c r="F90" s="30"/>
      <c r="G90" s="30"/>
      <c r="H90" s="30"/>
      <c r="I90" s="30"/>
      <c r="J90" s="30"/>
      <c r="K90" s="30"/>
      <c r="L90" s="30"/>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row>
    <row r="91" spans="1:52" x14ac:dyDescent="0.2">
      <c r="A91" s="25"/>
      <c r="B91" s="25"/>
      <c r="C91" s="25"/>
      <c r="D91" s="25"/>
      <c r="E91" s="25"/>
      <c r="F91" s="25"/>
      <c r="G91" s="25"/>
      <c r="H91" s="25"/>
      <c r="I91" s="25"/>
      <c r="J91" s="25"/>
      <c r="K91" s="25"/>
      <c r="L91" s="25"/>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row>
    <row r="92" spans="1:52" x14ac:dyDescent="0.2">
      <c r="A92" s="25"/>
      <c r="B92" s="25"/>
      <c r="C92" s="25"/>
      <c r="D92" s="25"/>
      <c r="E92" s="25"/>
      <c r="F92" s="25"/>
      <c r="G92" s="25"/>
      <c r="H92" s="25"/>
      <c r="I92" s="25"/>
      <c r="J92" s="25"/>
      <c r="K92" s="25"/>
      <c r="L92" s="25"/>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row>
    <row r="93" spans="1:52" x14ac:dyDescent="0.2">
      <c r="A93" s="25"/>
      <c r="B93" s="25"/>
      <c r="C93" s="25"/>
      <c r="D93" s="25"/>
      <c r="E93" s="25"/>
      <c r="F93" s="25"/>
      <c r="G93" s="25"/>
      <c r="H93" s="25"/>
      <c r="I93" s="25"/>
      <c r="J93" s="25"/>
      <c r="K93" s="25"/>
      <c r="L93" s="25"/>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row>
    <row r="94" spans="1:52" x14ac:dyDescent="0.2">
      <c r="A94" s="25"/>
      <c r="B94" s="25"/>
      <c r="C94" s="25"/>
      <c r="D94" s="25"/>
      <c r="E94" s="25"/>
      <c r="F94" s="25"/>
      <c r="G94" s="25"/>
      <c r="H94" s="25"/>
      <c r="I94" s="25"/>
      <c r="J94" s="25"/>
      <c r="K94" s="25"/>
      <c r="L94" s="25"/>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row>
    <row r="95" spans="1:52" x14ac:dyDescent="0.2">
      <c r="A95" s="25"/>
      <c r="B95" s="25"/>
      <c r="C95" s="25"/>
      <c r="D95" s="25"/>
      <c r="E95" s="25"/>
      <c r="F95" s="25"/>
      <c r="G95" s="25"/>
      <c r="H95" s="25"/>
      <c r="I95" s="25"/>
      <c r="J95" s="25"/>
      <c r="K95" s="25"/>
      <c r="L95" s="25"/>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c r="AS95" s="27"/>
      <c r="AT95" s="27"/>
      <c r="AU95" s="27"/>
      <c r="AV95" s="27"/>
      <c r="AW95" s="27"/>
      <c r="AX95" s="27"/>
      <c r="AY95" s="27"/>
      <c r="AZ95" s="27"/>
    </row>
    <row r="96" spans="1:52" x14ac:dyDescent="0.2">
      <c r="A96" s="25"/>
      <c r="B96" s="25"/>
      <c r="C96" s="25"/>
      <c r="D96" s="25"/>
      <c r="E96" s="25"/>
      <c r="F96" s="25"/>
      <c r="G96" s="25"/>
      <c r="H96" s="25"/>
      <c r="I96" s="25"/>
      <c r="J96" s="25"/>
      <c r="K96" s="25"/>
      <c r="L96" s="25"/>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7"/>
      <c r="AX96" s="27"/>
      <c r="AY96" s="27"/>
      <c r="AZ96" s="27"/>
    </row>
    <row r="97" spans="1:52" x14ac:dyDescent="0.2">
      <c r="A97" s="25"/>
      <c r="B97" s="25"/>
      <c r="C97" s="25"/>
      <c r="D97" s="25"/>
      <c r="E97" s="25"/>
      <c r="F97" s="25"/>
      <c r="G97" s="25"/>
      <c r="H97" s="25"/>
      <c r="I97" s="25"/>
      <c r="J97" s="25"/>
      <c r="K97" s="25"/>
      <c r="L97" s="25"/>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row>
    <row r="98" spans="1:52" x14ac:dyDescent="0.2">
      <c r="A98" s="25"/>
      <c r="B98" s="25"/>
      <c r="C98" s="25"/>
      <c r="D98" s="25"/>
      <c r="E98" s="25"/>
      <c r="F98" s="25"/>
      <c r="G98" s="25"/>
      <c r="H98" s="25"/>
      <c r="I98" s="25"/>
      <c r="J98" s="25"/>
      <c r="K98" s="25"/>
      <c r="L98" s="25"/>
      <c r="M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c r="AP98" s="27"/>
      <c r="AQ98" s="27"/>
      <c r="AR98" s="27"/>
      <c r="AS98" s="27"/>
      <c r="AT98" s="27"/>
      <c r="AU98" s="27"/>
      <c r="AV98" s="27"/>
      <c r="AW98" s="27"/>
      <c r="AX98" s="27"/>
      <c r="AY98" s="27"/>
      <c r="AZ98" s="27"/>
    </row>
    <row r="99" spans="1:52" x14ac:dyDescent="0.2">
      <c r="A99" s="25"/>
      <c r="B99" s="25"/>
      <c r="C99" s="25"/>
      <c r="D99" s="25"/>
      <c r="E99" s="25"/>
      <c r="F99" s="25"/>
      <c r="G99" s="25"/>
      <c r="H99" s="25"/>
      <c r="I99" s="25"/>
      <c r="J99" s="25"/>
      <c r="K99" s="25"/>
      <c r="L99" s="25"/>
      <c r="M99" s="27"/>
      <c r="N99" s="27"/>
      <c r="O99" s="27"/>
      <c r="P99" s="27"/>
      <c r="Q99" s="27"/>
      <c r="R99" s="27"/>
      <c r="S99" s="27"/>
      <c r="T99" s="27"/>
      <c r="U99" s="27"/>
      <c r="V99" s="27"/>
      <c r="W99" s="27"/>
      <c r="X99" s="27"/>
      <c r="Y99" s="27"/>
      <c r="Z99" s="27"/>
      <c r="AA99" s="27"/>
      <c r="AB99" s="27"/>
      <c r="AC99" s="27"/>
      <c r="AD99" s="27"/>
      <c r="AE99" s="27"/>
      <c r="AF99" s="27"/>
      <c r="AG99" s="27"/>
      <c r="AH99" s="27"/>
      <c r="AI99" s="27"/>
      <c r="AJ99" s="27"/>
      <c r="AK99" s="27"/>
      <c r="AL99" s="27"/>
      <c r="AM99" s="27"/>
      <c r="AN99" s="27"/>
      <c r="AO99" s="27"/>
      <c r="AP99" s="27"/>
      <c r="AQ99" s="27"/>
      <c r="AR99" s="27"/>
      <c r="AS99" s="27"/>
      <c r="AT99" s="27"/>
      <c r="AU99" s="27"/>
      <c r="AV99" s="27"/>
      <c r="AW99" s="27"/>
      <c r="AX99" s="27"/>
      <c r="AY99" s="27"/>
      <c r="AZ99" s="27"/>
    </row>
    <row r="100" spans="1:52" x14ac:dyDescent="0.2">
      <c r="A100" s="25"/>
      <c r="B100" s="25"/>
      <c r="C100" s="25"/>
      <c r="D100" s="25"/>
      <c r="E100" s="25"/>
      <c r="F100" s="25"/>
      <c r="G100" s="25"/>
      <c r="H100" s="25"/>
      <c r="I100" s="25"/>
      <c r="J100" s="25"/>
      <c r="K100" s="25"/>
      <c r="L100" s="25"/>
      <c r="M100" s="27"/>
      <c r="N100" s="27"/>
      <c r="O100" s="27"/>
      <c r="P100" s="27"/>
      <c r="Q100" s="27"/>
      <c r="R100" s="27"/>
      <c r="S100" s="27"/>
      <c r="T100" s="27"/>
      <c r="U100" s="27"/>
      <c r="V100" s="27"/>
      <c r="W100" s="27"/>
      <c r="X100" s="27"/>
      <c r="Y100" s="27"/>
      <c r="Z100" s="27"/>
      <c r="AA100" s="27"/>
      <c r="AB100" s="27"/>
      <c r="AC100" s="27"/>
      <c r="AD100" s="27"/>
      <c r="AE100" s="27"/>
      <c r="AF100" s="27"/>
      <c r="AG100" s="27"/>
      <c r="AH100" s="27"/>
      <c r="AI100" s="27"/>
      <c r="AJ100" s="27"/>
      <c r="AK100" s="27"/>
      <c r="AL100" s="27"/>
      <c r="AM100" s="27"/>
      <c r="AN100" s="27"/>
      <c r="AO100" s="27"/>
      <c r="AP100" s="27"/>
      <c r="AQ100" s="27"/>
      <c r="AR100" s="27"/>
      <c r="AS100" s="27"/>
      <c r="AT100" s="27"/>
      <c r="AU100" s="27"/>
      <c r="AV100" s="27"/>
      <c r="AW100" s="27"/>
      <c r="AX100" s="27"/>
      <c r="AY100" s="27"/>
      <c r="AZ100" s="27"/>
    </row>
    <row r="101" spans="1:52" x14ac:dyDescent="0.2">
      <c r="A101" s="25"/>
      <c r="B101" s="25"/>
      <c r="C101" s="25"/>
      <c r="D101" s="25"/>
      <c r="E101" s="25"/>
      <c r="F101" s="25"/>
      <c r="G101" s="25"/>
      <c r="H101" s="25"/>
      <c r="I101" s="25"/>
      <c r="J101" s="25"/>
      <c r="K101" s="25"/>
      <c r="L101" s="25"/>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row>
    <row r="102" spans="1:52" x14ac:dyDescent="0.2">
      <c r="A102" s="25"/>
      <c r="B102" s="25"/>
      <c r="C102" s="25"/>
      <c r="D102" s="25"/>
      <c r="E102" s="25"/>
      <c r="F102" s="25"/>
      <c r="G102" s="25"/>
      <c r="H102" s="25"/>
      <c r="I102" s="25"/>
      <c r="J102" s="25"/>
      <c r="K102" s="25"/>
      <c r="L102" s="25"/>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27"/>
      <c r="AT102" s="27"/>
      <c r="AU102" s="27"/>
      <c r="AV102" s="27"/>
      <c r="AW102" s="27"/>
      <c r="AX102" s="27"/>
      <c r="AY102" s="27"/>
      <c r="AZ102" s="27"/>
    </row>
    <row r="103" spans="1:52" x14ac:dyDescent="0.2">
      <c r="A103" s="25"/>
      <c r="B103" s="25"/>
      <c r="C103" s="25"/>
      <c r="D103" s="25"/>
      <c r="E103" s="25"/>
      <c r="F103" s="25"/>
      <c r="G103" s="25"/>
      <c r="H103" s="25"/>
      <c r="I103" s="25"/>
      <c r="J103" s="25"/>
      <c r="K103" s="25"/>
      <c r="L103" s="25"/>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row>
    <row r="104" spans="1:52" x14ac:dyDescent="0.2">
      <c r="A104" s="25"/>
      <c r="B104" s="25"/>
      <c r="C104" s="25"/>
      <c r="D104" s="25"/>
      <c r="E104" s="25"/>
      <c r="F104" s="25"/>
      <c r="G104" s="25"/>
      <c r="H104" s="25"/>
      <c r="I104" s="25"/>
      <c r="J104" s="25"/>
      <c r="K104" s="25"/>
      <c r="L104" s="25"/>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7"/>
      <c r="AV104" s="27"/>
      <c r="AW104" s="27"/>
      <c r="AX104" s="27"/>
      <c r="AY104" s="27"/>
      <c r="AZ104" s="27"/>
    </row>
    <row r="105" spans="1:52" x14ac:dyDescent="0.2">
      <c r="A105" s="25"/>
      <c r="B105" s="25"/>
      <c r="C105" s="25"/>
      <c r="D105" s="25"/>
      <c r="E105" s="25"/>
      <c r="F105" s="25"/>
      <c r="G105" s="25"/>
      <c r="H105" s="25"/>
      <c r="I105" s="25"/>
      <c r="J105" s="25"/>
      <c r="K105" s="25"/>
      <c r="L105" s="25"/>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row>
    <row r="106" spans="1:52" x14ac:dyDescent="0.2">
      <c r="A106" s="25"/>
      <c r="B106" s="25"/>
      <c r="C106" s="25"/>
      <c r="D106" s="25"/>
      <c r="E106" s="25"/>
      <c r="F106" s="25"/>
      <c r="G106" s="25"/>
      <c r="H106" s="25"/>
      <c r="I106" s="25"/>
      <c r="J106" s="25"/>
      <c r="K106" s="25"/>
      <c r="L106" s="25"/>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row>
    <row r="107" spans="1:52" x14ac:dyDescent="0.2">
      <c r="A107" s="25"/>
      <c r="B107" s="25"/>
      <c r="C107" s="25"/>
      <c r="D107" s="25"/>
      <c r="E107" s="25"/>
      <c r="F107" s="25"/>
      <c r="G107" s="25"/>
      <c r="H107" s="25"/>
      <c r="I107" s="25"/>
      <c r="J107" s="25"/>
      <c r="K107" s="25"/>
      <c r="L107" s="25"/>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7"/>
      <c r="AQ107" s="27"/>
      <c r="AR107" s="27"/>
      <c r="AS107" s="27"/>
      <c r="AT107" s="27"/>
      <c r="AU107" s="27"/>
      <c r="AV107" s="27"/>
      <c r="AW107" s="27"/>
      <c r="AX107" s="27"/>
      <c r="AY107" s="27"/>
      <c r="AZ107" s="27"/>
    </row>
    <row r="108" spans="1:52" x14ac:dyDescent="0.2">
      <c r="A108" s="25"/>
      <c r="B108" s="25"/>
      <c r="C108" s="25"/>
      <c r="D108" s="25"/>
      <c r="E108" s="25"/>
      <c r="F108" s="25"/>
      <c r="G108" s="25"/>
      <c r="H108" s="25"/>
      <c r="I108" s="25"/>
      <c r="J108" s="25"/>
      <c r="K108" s="25"/>
      <c r="L108" s="25"/>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7"/>
      <c r="AQ108" s="27"/>
      <c r="AR108" s="27"/>
      <c r="AS108" s="27"/>
      <c r="AT108" s="27"/>
      <c r="AU108" s="27"/>
      <c r="AV108" s="27"/>
      <c r="AW108" s="27"/>
      <c r="AX108" s="27"/>
      <c r="AY108" s="27"/>
      <c r="AZ108" s="27"/>
    </row>
    <row r="109" spans="1:52" x14ac:dyDescent="0.2">
      <c r="A109" s="25"/>
      <c r="B109" s="25"/>
      <c r="C109" s="25"/>
      <c r="D109" s="25"/>
      <c r="E109" s="25"/>
      <c r="F109" s="25"/>
      <c r="G109" s="25"/>
      <c r="H109" s="25"/>
      <c r="I109" s="25"/>
      <c r="J109" s="25"/>
      <c r="K109" s="25"/>
      <c r="L109" s="25"/>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7"/>
      <c r="AU109" s="27"/>
      <c r="AV109" s="27"/>
      <c r="AW109" s="27"/>
      <c r="AX109" s="27"/>
      <c r="AY109" s="27"/>
      <c r="AZ109" s="27"/>
    </row>
    <row r="110" spans="1:52" x14ac:dyDescent="0.2">
      <c r="A110" s="25"/>
      <c r="B110" s="25"/>
      <c r="C110" s="25"/>
      <c r="D110" s="25"/>
      <c r="E110" s="25"/>
      <c r="F110" s="25"/>
      <c r="G110" s="25"/>
      <c r="H110" s="25"/>
      <c r="I110" s="25"/>
      <c r="J110" s="25"/>
      <c r="K110" s="25"/>
      <c r="L110" s="25"/>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c r="AP110" s="27"/>
      <c r="AQ110" s="27"/>
      <c r="AR110" s="27"/>
      <c r="AS110" s="27"/>
      <c r="AT110" s="27"/>
      <c r="AU110" s="27"/>
      <c r="AV110" s="27"/>
      <c r="AW110" s="27"/>
      <c r="AX110" s="27"/>
      <c r="AY110" s="27"/>
      <c r="AZ110" s="27"/>
    </row>
    <row r="111" spans="1:52" x14ac:dyDescent="0.2">
      <c r="A111" s="25"/>
      <c r="B111" s="25"/>
      <c r="C111" s="25"/>
      <c r="D111" s="25"/>
      <c r="E111" s="25"/>
      <c r="F111" s="25"/>
      <c r="G111" s="25"/>
      <c r="H111" s="25"/>
      <c r="I111" s="25"/>
      <c r="J111" s="25"/>
      <c r="K111" s="25"/>
      <c r="L111" s="25"/>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c r="AP111" s="27"/>
      <c r="AQ111" s="27"/>
      <c r="AR111" s="27"/>
      <c r="AS111" s="27"/>
      <c r="AT111" s="27"/>
      <c r="AU111" s="27"/>
      <c r="AV111" s="27"/>
      <c r="AW111" s="27"/>
      <c r="AX111" s="27"/>
      <c r="AY111" s="27"/>
      <c r="AZ111" s="27"/>
    </row>
    <row r="112" spans="1:52" x14ac:dyDescent="0.2">
      <c r="A112" s="25"/>
      <c r="B112" s="25"/>
      <c r="C112" s="25"/>
      <c r="D112" s="25"/>
      <c r="E112" s="25"/>
      <c r="F112" s="25"/>
      <c r="G112" s="25"/>
      <c r="H112" s="25"/>
      <c r="I112" s="25"/>
      <c r="J112" s="25"/>
      <c r="K112" s="25"/>
      <c r="L112" s="25"/>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row>
    <row r="113" spans="1:52" x14ac:dyDescent="0.2">
      <c r="A113" s="25"/>
      <c r="B113" s="25"/>
      <c r="C113" s="25"/>
      <c r="D113" s="25"/>
      <c r="E113" s="25"/>
      <c r="F113" s="25"/>
      <c r="G113" s="25"/>
      <c r="H113" s="25"/>
      <c r="I113" s="25"/>
      <c r="J113" s="25"/>
      <c r="K113" s="25"/>
      <c r="L113" s="25"/>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row>
    <row r="114" spans="1:52" x14ac:dyDescent="0.2">
      <c r="A114" s="25"/>
      <c r="B114" s="25"/>
      <c r="C114" s="25"/>
      <c r="D114" s="25"/>
      <c r="E114" s="25"/>
      <c r="F114" s="25"/>
      <c r="G114" s="25"/>
      <c r="H114" s="25"/>
      <c r="I114" s="25"/>
      <c r="J114" s="25"/>
      <c r="K114" s="25"/>
      <c r="L114" s="25"/>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row>
    <row r="115" spans="1:52" x14ac:dyDescent="0.2">
      <c r="A115" s="25"/>
      <c r="B115" s="25"/>
      <c r="C115" s="25"/>
      <c r="D115" s="25"/>
      <c r="E115" s="25"/>
      <c r="F115" s="25"/>
      <c r="G115" s="25"/>
      <c r="H115" s="25"/>
      <c r="I115" s="25"/>
      <c r="J115" s="25"/>
      <c r="K115" s="25"/>
      <c r="L115" s="25"/>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7"/>
      <c r="AQ115" s="27"/>
      <c r="AR115" s="27"/>
      <c r="AS115" s="27"/>
      <c r="AT115" s="27"/>
      <c r="AU115" s="27"/>
      <c r="AV115" s="27"/>
      <c r="AW115" s="27"/>
      <c r="AX115" s="27"/>
      <c r="AY115" s="27"/>
      <c r="AZ115" s="27"/>
    </row>
    <row r="116" spans="1:52" x14ac:dyDescent="0.2">
      <c r="A116" s="25"/>
      <c r="B116" s="25"/>
      <c r="C116" s="25"/>
      <c r="D116" s="25"/>
      <c r="E116" s="25"/>
      <c r="F116" s="25"/>
      <c r="G116" s="25"/>
      <c r="H116" s="25"/>
      <c r="I116" s="25"/>
      <c r="J116" s="25"/>
      <c r="K116" s="25"/>
      <c r="L116" s="25"/>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row>
    <row r="117" spans="1:52" x14ac:dyDescent="0.2">
      <c r="A117" s="25"/>
      <c r="B117" s="25"/>
      <c r="C117" s="25"/>
      <c r="D117" s="25"/>
      <c r="E117" s="25"/>
      <c r="F117" s="25"/>
      <c r="G117" s="25"/>
      <c r="H117" s="25"/>
      <c r="I117" s="25"/>
      <c r="J117" s="25"/>
      <c r="K117" s="25"/>
      <c r="L117" s="25"/>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7"/>
      <c r="AQ117" s="27"/>
      <c r="AR117" s="27"/>
      <c r="AS117" s="27"/>
      <c r="AT117" s="27"/>
      <c r="AU117" s="27"/>
      <c r="AV117" s="27"/>
      <c r="AW117" s="27"/>
      <c r="AX117" s="27"/>
      <c r="AY117" s="27"/>
      <c r="AZ117" s="27"/>
    </row>
    <row r="118" spans="1:52" x14ac:dyDescent="0.2">
      <c r="A118" s="25"/>
      <c r="B118" s="25"/>
      <c r="C118" s="25"/>
      <c r="D118" s="25"/>
      <c r="E118" s="25"/>
      <c r="F118" s="25"/>
      <c r="G118" s="25"/>
      <c r="H118" s="25"/>
      <c r="I118" s="25"/>
      <c r="J118" s="25"/>
      <c r="K118" s="25"/>
      <c r="L118" s="25"/>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c r="AR118" s="27"/>
      <c r="AS118" s="27"/>
      <c r="AT118" s="27"/>
      <c r="AU118" s="27"/>
      <c r="AV118" s="27"/>
      <c r="AW118" s="27"/>
      <c r="AX118" s="27"/>
      <c r="AY118" s="27"/>
      <c r="AZ118" s="27"/>
    </row>
    <row r="119" spans="1:52" x14ac:dyDescent="0.2">
      <c r="A119" s="25"/>
      <c r="B119" s="25"/>
      <c r="C119" s="25"/>
      <c r="D119" s="25"/>
      <c r="E119" s="25"/>
      <c r="F119" s="25"/>
      <c r="G119" s="25"/>
      <c r="H119" s="25"/>
      <c r="I119" s="25"/>
      <c r="J119" s="25"/>
      <c r="K119" s="25"/>
      <c r="L119" s="25"/>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row>
    <row r="120" spans="1:52" x14ac:dyDescent="0.2">
      <c r="A120" s="25"/>
      <c r="B120" s="25"/>
      <c r="C120" s="25"/>
      <c r="D120" s="25"/>
      <c r="E120" s="25"/>
      <c r="F120" s="25"/>
      <c r="G120" s="25"/>
      <c r="H120" s="25"/>
      <c r="I120" s="25"/>
      <c r="J120" s="25"/>
      <c r="K120" s="25"/>
      <c r="L120" s="25"/>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row>
    <row r="121" spans="1:52" x14ac:dyDescent="0.2">
      <c r="A121" s="25"/>
      <c r="B121" s="25"/>
      <c r="C121" s="25"/>
      <c r="D121" s="25"/>
      <c r="E121" s="25"/>
      <c r="F121" s="25"/>
      <c r="G121" s="25"/>
      <c r="H121" s="25"/>
      <c r="I121" s="25"/>
      <c r="J121" s="25"/>
      <c r="K121" s="25"/>
      <c r="L121" s="25"/>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row>
    <row r="122" spans="1:52" x14ac:dyDescent="0.2">
      <c r="A122" s="25"/>
      <c r="B122" s="25"/>
      <c r="C122" s="25"/>
      <c r="D122" s="25"/>
      <c r="E122" s="25"/>
      <c r="F122" s="25"/>
      <c r="G122" s="25"/>
      <c r="H122" s="25"/>
      <c r="I122" s="25"/>
      <c r="J122" s="25"/>
      <c r="K122" s="25"/>
      <c r="L122" s="25"/>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row>
    <row r="123" spans="1:52" x14ac:dyDescent="0.2">
      <c r="A123" s="25"/>
      <c r="B123" s="25"/>
      <c r="C123" s="25"/>
      <c r="D123" s="25"/>
      <c r="E123" s="25"/>
      <c r="F123" s="25"/>
      <c r="G123" s="25"/>
      <c r="H123" s="25"/>
      <c r="I123" s="25"/>
      <c r="J123" s="25"/>
      <c r="K123" s="25"/>
      <c r="L123" s="25"/>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row>
    <row r="124" spans="1:52" x14ac:dyDescent="0.2">
      <c r="A124" s="25"/>
      <c r="B124" s="25"/>
      <c r="C124" s="25"/>
      <c r="D124" s="25"/>
      <c r="E124" s="25"/>
      <c r="F124" s="25"/>
      <c r="G124" s="25"/>
      <c r="H124" s="25"/>
      <c r="I124" s="25"/>
      <c r="J124" s="25"/>
      <c r="K124" s="25"/>
      <c r="L124" s="25"/>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row>
    <row r="125" spans="1:52" x14ac:dyDescent="0.2">
      <c r="A125" s="25"/>
      <c r="B125" s="25"/>
      <c r="C125" s="25"/>
      <c r="D125" s="25"/>
      <c r="E125" s="25"/>
      <c r="F125" s="25"/>
      <c r="G125" s="25"/>
      <c r="H125" s="25"/>
      <c r="I125" s="25"/>
      <c r="J125" s="25"/>
      <c r="K125" s="25"/>
      <c r="L125" s="25"/>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row>
    <row r="126" spans="1:52" x14ac:dyDescent="0.2">
      <c r="A126" s="25"/>
      <c r="B126" s="25"/>
      <c r="C126" s="25"/>
      <c r="D126" s="25"/>
      <c r="E126" s="25"/>
      <c r="F126" s="25"/>
      <c r="G126" s="25"/>
      <c r="H126" s="25"/>
      <c r="I126" s="25"/>
      <c r="J126" s="25"/>
      <c r="K126" s="25"/>
      <c r="L126" s="25"/>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c r="AQ126" s="27"/>
      <c r="AR126" s="27"/>
      <c r="AS126" s="27"/>
      <c r="AT126" s="27"/>
      <c r="AU126" s="27"/>
      <c r="AV126" s="27"/>
      <c r="AW126" s="27"/>
      <c r="AX126" s="27"/>
      <c r="AY126" s="27"/>
      <c r="AZ126" s="27"/>
    </row>
    <row r="127" spans="1:52" x14ac:dyDescent="0.2">
      <c r="A127" s="25"/>
      <c r="B127" s="25"/>
      <c r="C127" s="25"/>
      <c r="D127" s="25"/>
      <c r="E127" s="25"/>
      <c r="F127" s="25"/>
      <c r="G127" s="25"/>
      <c r="H127" s="25"/>
      <c r="I127" s="25"/>
      <c r="J127" s="25"/>
      <c r="K127" s="25"/>
      <c r="L127" s="25"/>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row>
    <row r="128" spans="1:52" x14ac:dyDescent="0.2">
      <c r="A128" s="25"/>
      <c r="B128" s="25"/>
      <c r="C128" s="25"/>
      <c r="D128" s="25"/>
      <c r="E128" s="25"/>
      <c r="F128" s="25"/>
      <c r="G128" s="25"/>
      <c r="H128" s="25"/>
      <c r="I128" s="25"/>
      <c r="J128" s="25"/>
      <c r="K128" s="25"/>
      <c r="L128" s="25"/>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row>
    <row r="129" spans="1:52" x14ac:dyDescent="0.2">
      <c r="A129" s="25"/>
      <c r="B129" s="25"/>
      <c r="C129" s="25"/>
      <c r="D129" s="25"/>
      <c r="E129" s="25"/>
      <c r="F129" s="25"/>
      <c r="G129" s="25"/>
      <c r="H129" s="25"/>
      <c r="I129" s="25"/>
      <c r="J129" s="25"/>
      <c r="K129" s="25"/>
      <c r="L129" s="25"/>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row>
    <row r="130" spans="1:52" x14ac:dyDescent="0.2">
      <c r="A130" s="25"/>
      <c r="B130" s="25"/>
      <c r="C130" s="25"/>
      <c r="D130" s="25"/>
      <c r="E130" s="25"/>
      <c r="F130" s="25"/>
      <c r="G130" s="25"/>
      <c r="H130" s="25"/>
      <c r="I130" s="25"/>
      <c r="J130" s="25"/>
      <c r="K130" s="25"/>
      <c r="L130" s="25"/>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row>
    <row r="131" spans="1:52" x14ac:dyDescent="0.2">
      <c r="A131" s="25"/>
      <c r="B131" s="25"/>
      <c r="C131" s="25"/>
      <c r="D131" s="25"/>
      <c r="E131" s="25"/>
      <c r="F131" s="25"/>
      <c r="G131" s="25"/>
      <c r="H131" s="25"/>
      <c r="I131" s="25"/>
      <c r="J131" s="25"/>
      <c r="K131" s="25"/>
      <c r="L131" s="25"/>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c r="AQ131" s="27"/>
      <c r="AR131" s="27"/>
      <c r="AS131" s="27"/>
      <c r="AT131" s="27"/>
      <c r="AU131" s="27"/>
      <c r="AV131" s="27"/>
      <c r="AW131" s="27"/>
      <c r="AX131" s="27"/>
      <c r="AY131" s="27"/>
      <c r="AZ131" s="27"/>
    </row>
    <row r="132" spans="1:52" x14ac:dyDescent="0.2">
      <c r="A132" s="25"/>
      <c r="B132" s="25"/>
      <c r="C132" s="25"/>
      <c r="D132" s="25"/>
      <c r="E132" s="25"/>
      <c r="F132" s="25"/>
      <c r="G132" s="25"/>
      <c r="H132" s="25"/>
      <c r="I132" s="25"/>
      <c r="J132" s="25"/>
      <c r="K132" s="25"/>
      <c r="L132" s="25"/>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c r="AL132" s="27"/>
      <c r="AM132" s="27"/>
      <c r="AN132" s="27"/>
      <c r="AO132" s="27"/>
      <c r="AP132" s="27"/>
      <c r="AQ132" s="27"/>
      <c r="AR132" s="27"/>
      <c r="AS132" s="27"/>
      <c r="AT132" s="27"/>
      <c r="AU132" s="27"/>
      <c r="AV132" s="27"/>
      <c r="AW132" s="27"/>
      <c r="AX132" s="27"/>
      <c r="AY132" s="27"/>
      <c r="AZ132" s="27"/>
    </row>
    <row r="133" spans="1:52" x14ac:dyDescent="0.2">
      <c r="A133" s="25"/>
      <c r="B133" s="25"/>
      <c r="C133" s="25"/>
      <c r="D133" s="25"/>
      <c r="E133" s="25"/>
      <c r="F133" s="25"/>
      <c r="G133" s="25"/>
      <c r="H133" s="25"/>
      <c r="I133" s="25"/>
      <c r="J133" s="25"/>
      <c r="K133" s="25"/>
      <c r="L133" s="25"/>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N133" s="27"/>
      <c r="AO133" s="27"/>
      <c r="AP133" s="27"/>
      <c r="AQ133" s="27"/>
      <c r="AR133" s="27"/>
      <c r="AS133" s="27"/>
      <c r="AT133" s="27"/>
      <c r="AU133" s="27"/>
      <c r="AV133" s="27"/>
      <c r="AW133" s="27"/>
      <c r="AX133" s="27"/>
      <c r="AY133" s="27"/>
      <c r="AZ133" s="27"/>
    </row>
    <row r="134" spans="1:52" x14ac:dyDescent="0.2">
      <c r="A134" s="25"/>
      <c r="B134" s="25"/>
      <c r="C134" s="25"/>
      <c r="D134" s="25"/>
      <c r="E134" s="25"/>
      <c r="F134" s="25"/>
      <c r="G134" s="25"/>
      <c r="H134" s="25"/>
      <c r="I134" s="25"/>
      <c r="J134" s="25"/>
      <c r="K134" s="25"/>
      <c r="L134" s="25"/>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N134" s="27"/>
      <c r="AO134" s="27"/>
      <c r="AP134" s="27"/>
      <c r="AQ134" s="27"/>
      <c r="AR134" s="27"/>
      <c r="AS134" s="27"/>
      <c r="AT134" s="27"/>
      <c r="AU134" s="27"/>
      <c r="AV134" s="27"/>
      <c r="AW134" s="27"/>
      <c r="AX134" s="27"/>
      <c r="AY134" s="27"/>
      <c r="AZ134" s="27"/>
    </row>
    <row r="135" spans="1:52" x14ac:dyDescent="0.2">
      <c r="A135" s="25"/>
      <c r="B135" s="25"/>
      <c r="C135" s="25"/>
      <c r="D135" s="25"/>
      <c r="E135" s="25"/>
      <c r="F135" s="25"/>
      <c r="G135" s="25"/>
      <c r="H135" s="25"/>
      <c r="I135" s="25"/>
      <c r="J135" s="25"/>
      <c r="K135" s="25"/>
      <c r="L135" s="25"/>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row>
    <row r="136" spans="1:52" x14ac:dyDescent="0.2">
      <c r="A136" s="25"/>
      <c r="B136" s="25"/>
      <c r="C136" s="25"/>
      <c r="D136" s="25"/>
      <c r="E136" s="25"/>
      <c r="F136" s="25"/>
      <c r="G136" s="25"/>
      <c r="H136" s="25"/>
      <c r="I136" s="25"/>
      <c r="J136" s="25"/>
      <c r="K136" s="25"/>
      <c r="L136" s="25"/>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7"/>
      <c r="AY136" s="27"/>
      <c r="AZ136" s="27"/>
    </row>
    <row r="137" spans="1:52" x14ac:dyDescent="0.2">
      <c r="A137" s="25"/>
      <c r="B137" s="25"/>
      <c r="C137" s="25"/>
      <c r="D137" s="25"/>
      <c r="E137" s="25"/>
      <c r="F137" s="25"/>
      <c r="G137" s="25"/>
      <c r="H137" s="25"/>
      <c r="I137" s="25"/>
      <c r="J137" s="25"/>
      <c r="K137" s="25"/>
      <c r="L137" s="25"/>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row>
    <row r="138" spans="1:52" x14ac:dyDescent="0.2">
      <c r="A138" s="25"/>
      <c r="B138" s="25"/>
      <c r="C138" s="25"/>
      <c r="D138" s="25"/>
      <c r="E138" s="25"/>
      <c r="F138" s="25"/>
      <c r="G138" s="25"/>
      <c r="H138" s="25"/>
      <c r="I138" s="25"/>
      <c r="J138" s="25"/>
      <c r="K138" s="25"/>
      <c r="L138" s="25"/>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7"/>
      <c r="AQ138" s="27"/>
      <c r="AR138" s="27"/>
      <c r="AS138" s="27"/>
      <c r="AT138" s="27"/>
      <c r="AU138" s="27"/>
      <c r="AV138" s="27"/>
      <c r="AW138" s="27"/>
      <c r="AX138" s="27"/>
      <c r="AY138" s="27"/>
      <c r="AZ138" s="27"/>
    </row>
    <row r="139" spans="1:52" x14ac:dyDescent="0.2">
      <c r="A139" s="25"/>
      <c r="B139" s="25"/>
      <c r="C139" s="25"/>
      <c r="D139" s="25"/>
      <c r="E139" s="25"/>
      <c r="F139" s="25"/>
      <c r="G139" s="25"/>
      <c r="H139" s="25"/>
      <c r="I139" s="25"/>
      <c r="J139" s="25"/>
      <c r="K139" s="25"/>
      <c r="L139" s="25"/>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c r="AQ139" s="27"/>
      <c r="AR139" s="27"/>
      <c r="AS139" s="27"/>
      <c r="AT139" s="27"/>
      <c r="AU139" s="27"/>
      <c r="AV139" s="27"/>
      <c r="AW139" s="27"/>
      <c r="AX139" s="27"/>
      <c r="AY139" s="27"/>
      <c r="AZ139" s="27"/>
    </row>
    <row r="140" spans="1:52" x14ac:dyDescent="0.2">
      <c r="A140" s="25"/>
      <c r="B140" s="25"/>
      <c r="C140" s="25"/>
      <c r="D140" s="25"/>
      <c r="E140" s="25"/>
      <c r="F140" s="25"/>
      <c r="G140" s="25"/>
      <c r="H140" s="25"/>
      <c r="I140" s="25"/>
      <c r="J140" s="25"/>
      <c r="K140" s="25"/>
      <c r="L140" s="25"/>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c r="AQ140" s="27"/>
      <c r="AR140" s="27"/>
      <c r="AS140" s="27"/>
      <c r="AT140" s="27"/>
      <c r="AU140" s="27"/>
      <c r="AV140" s="27"/>
      <c r="AW140" s="27"/>
      <c r="AX140" s="27"/>
      <c r="AY140" s="27"/>
      <c r="AZ140" s="27"/>
    </row>
    <row r="141" spans="1:52" x14ac:dyDescent="0.2">
      <c r="A141" s="25"/>
      <c r="B141" s="25"/>
      <c r="C141" s="25"/>
      <c r="D141" s="25"/>
      <c r="E141" s="25"/>
      <c r="F141" s="25"/>
      <c r="G141" s="25"/>
      <c r="H141" s="25"/>
      <c r="I141" s="25"/>
      <c r="J141" s="25"/>
      <c r="K141" s="25"/>
      <c r="L141" s="25"/>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c r="AQ141" s="27"/>
      <c r="AR141" s="27"/>
      <c r="AS141" s="27"/>
      <c r="AT141" s="27"/>
      <c r="AU141" s="27"/>
      <c r="AV141" s="27"/>
      <c r="AW141" s="27"/>
      <c r="AX141" s="27"/>
      <c r="AY141" s="27"/>
      <c r="AZ141" s="27"/>
    </row>
    <row r="142" spans="1:52" x14ac:dyDescent="0.2">
      <c r="A142" s="25"/>
      <c r="B142" s="25"/>
      <c r="C142" s="25"/>
      <c r="D142" s="25"/>
      <c r="E142" s="25"/>
      <c r="F142" s="25"/>
      <c r="G142" s="25"/>
      <c r="H142" s="25"/>
      <c r="I142" s="25"/>
      <c r="J142" s="25"/>
      <c r="K142" s="25"/>
      <c r="L142" s="25"/>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row>
    <row r="143" spans="1:52" x14ac:dyDescent="0.2">
      <c r="A143" s="25"/>
      <c r="B143" s="25"/>
      <c r="C143" s="25"/>
      <c r="D143" s="25"/>
      <c r="E143" s="25"/>
      <c r="F143" s="25"/>
      <c r="G143" s="25"/>
      <c r="H143" s="25"/>
      <c r="I143" s="25"/>
      <c r="J143" s="25"/>
      <c r="K143" s="25"/>
      <c r="L143" s="25"/>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c r="AK143" s="27"/>
      <c r="AL143" s="27"/>
      <c r="AM143" s="27"/>
      <c r="AN143" s="27"/>
      <c r="AO143" s="27"/>
      <c r="AP143" s="27"/>
      <c r="AQ143" s="27"/>
      <c r="AR143" s="27"/>
      <c r="AS143" s="27"/>
      <c r="AT143" s="27"/>
      <c r="AU143" s="27"/>
      <c r="AV143" s="27"/>
      <c r="AW143" s="27"/>
      <c r="AX143" s="27"/>
      <c r="AY143" s="27"/>
      <c r="AZ143" s="27"/>
    </row>
    <row r="144" spans="1:52" x14ac:dyDescent="0.2">
      <c r="A144" s="25"/>
      <c r="B144" s="25"/>
      <c r="C144" s="25"/>
      <c r="D144" s="25"/>
      <c r="E144" s="25"/>
      <c r="F144" s="25"/>
      <c r="G144" s="25"/>
      <c r="H144" s="25"/>
      <c r="I144" s="25"/>
      <c r="J144" s="25"/>
      <c r="K144" s="25"/>
      <c r="L144" s="25"/>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27"/>
      <c r="AJ144" s="27"/>
      <c r="AK144" s="27"/>
      <c r="AL144" s="27"/>
      <c r="AM144" s="27"/>
      <c r="AN144" s="27"/>
      <c r="AO144" s="27"/>
      <c r="AP144" s="27"/>
      <c r="AQ144" s="27"/>
      <c r="AR144" s="27"/>
      <c r="AS144" s="27"/>
      <c r="AT144" s="27"/>
      <c r="AU144" s="27"/>
      <c r="AV144" s="27"/>
      <c r="AW144" s="27"/>
      <c r="AX144" s="27"/>
      <c r="AY144" s="27"/>
      <c r="AZ144" s="27"/>
    </row>
    <row r="145" spans="1:52" x14ac:dyDescent="0.2">
      <c r="A145" s="25"/>
      <c r="B145" s="25"/>
      <c r="C145" s="25"/>
      <c r="D145" s="25"/>
      <c r="E145" s="25"/>
      <c r="F145" s="25"/>
      <c r="G145" s="25"/>
      <c r="H145" s="25"/>
      <c r="I145" s="25"/>
      <c r="J145" s="25"/>
      <c r="K145" s="25"/>
      <c r="L145" s="25"/>
      <c r="M145" s="27"/>
      <c r="N145" s="27"/>
      <c r="O145" s="27"/>
      <c r="P145" s="27"/>
      <c r="Q145" s="27"/>
      <c r="R145" s="27"/>
      <c r="S145" s="27"/>
      <c r="T145" s="27"/>
      <c r="U145" s="27"/>
      <c r="V145" s="27"/>
      <c r="W145" s="27"/>
      <c r="X145" s="27"/>
      <c r="Y145" s="27"/>
      <c r="Z145" s="27"/>
      <c r="AA145" s="27"/>
      <c r="AB145" s="27"/>
      <c r="AC145" s="27"/>
      <c r="AD145" s="27"/>
      <c r="AE145" s="27"/>
      <c r="AF145" s="27"/>
      <c r="AG145" s="27"/>
      <c r="AH145" s="27"/>
      <c r="AI145" s="27"/>
      <c r="AJ145" s="27"/>
      <c r="AK145" s="27"/>
      <c r="AL145" s="27"/>
      <c r="AM145" s="27"/>
      <c r="AN145" s="27"/>
      <c r="AO145" s="27"/>
      <c r="AP145" s="27"/>
      <c r="AQ145" s="27"/>
      <c r="AR145" s="27"/>
      <c r="AS145" s="27"/>
      <c r="AT145" s="27"/>
      <c r="AU145" s="27"/>
      <c r="AV145" s="27"/>
      <c r="AW145" s="27"/>
      <c r="AX145" s="27"/>
      <c r="AY145" s="27"/>
      <c r="AZ145" s="27"/>
    </row>
    <row r="146" spans="1:52" x14ac:dyDescent="0.2">
      <c r="A146" s="25"/>
      <c r="B146" s="25"/>
      <c r="C146" s="25"/>
      <c r="D146" s="25"/>
      <c r="E146" s="25"/>
      <c r="F146" s="25"/>
      <c r="G146" s="25"/>
      <c r="H146" s="25"/>
      <c r="I146" s="25"/>
      <c r="J146" s="25"/>
      <c r="K146" s="25"/>
      <c r="L146" s="25"/>
      <c r="M146" s="27"/>
      <c r="N146" s="27"/>
      <c r="O146" s="27"/>
      <c r="P146" s="27"/>
      <c r="Q146" s="27"/>
      <c r="R146" s="27"/>
      <c r="S146" s="27"/>
      <c r="T146" s="27"/>
      <c r="U146" s="27"/>
      <c r="V146" s="27"/>
      <c r="W146" s="27"/>
      <c r="X146" s="27"/>
      <c r="Y146" s="27"/>
      <c r="Z146" s="27"/>
      <c r="AA146" s="27"/>
      <c r="AB146" s="27"/>
      <c r="AC146" s="27"/>
      <c r="AD146" s="27"/>
      <c r="AE146" s="27"/>
      <c r="AF146" s="27"/>
      <c r="AG146" s="27"/>
      <c r="AH146" s="27"/>
      <c r="AI146" s="27"/>
      <c r="AJ146" s="27"/>
      <c r="AK146" s="27"/>
      <c r="AL146" s="27"/>
      <c r="AM146" s="27"/>
      <c r="AN146" s="27"/>
      <c r="AO146" s="27"/>
      <c r="AP146" s="27"/>
      <c r="AQ146" s="27"/>
      <c r="AR146" s="27"/>
      <c r="AS146" s="27"/>
      <c r="AT146" s="27"/>
      <c r="AU146" s="27"/>
      <c r="AV146" s="27"/>
      <c r="AW146" s="27"/>
      <c r="AX146" s="27"/>
      <c r="AY146" s="27"/>
      <c r="AZ146" s="27"/>
    </row>
    <row r="147" spans="1:52" x14ac:dyDescent="0.2">
      <c r="A147" s="25"/>
      <c r="B147" s="25"/>
      <c r="C147" s="25"/>
      <c r="D147" s="25"/>
      <c r="E147" s="25"/>
      <c r="F147" s="25"/>
      <c r="G147" s="25"/>
      <c r="H147" s="25"/>
      <c r="I147" s="25"/>
      <c r="J147" s="25"/>
      <c r="K147" s="25"/>
      <c r="L147" s="25"/>
      <c r="M147" s="27"/>
      <c r="N147" s="27"/>
      <c r="O147" s="27"/>
      <c r="P147" s="27"/>
      <c r="Q147" s="27"/>
      <c r="R147" s="27"/>
      <c r="S147" s="27"/>
      <c r="T147" s="27"/>
      <c r="U147" s="27"/>
      <c r="V147" s="27"/>
      <c r="W147" s="27"/>
      <c r="X147" s="27"/>
      <c r="Y147" s="27"/>
      <c r="Z147" s="27"/>
      <c r="AA147" s="27"/>
      <c r="AB147" s="27"/>
      <c r="AC147" s="27"/>
      <c r="AD147" s="27"/>
      <c r="AE147" s="27"/>
      <c r="AF147" s="27"/>
      <c r="AG147" s="27"/>
      <c r="AH147" s="27"/>
      <c r="AI147" s="27"/>
      <c r="AJ147" s="27"/>
      <c r="AK147" s="27"/>
      <c r="AL147" s="27"/>
      <c r="AM147" s="27"/>
      <c r="AN147" s="27"/>
      <c r="AO147" s="27"/>
      <c r="AP147" s="27"/>
      <c r="AQ147" s="27"/>
      <c r="AR147" s="27"/>
      <c r="AS147" s="27"/>
      <c r="AT147" s="27"/>
      <c r="AU147" s="27"/>
      <c r="AV147" s="27"/>
      <c r="AW147" s="27"/>
      <c r="AX147" s="27"/>
      <c r="AY147" s="27"/>
      <c r="AZ147" s="27"/>
    </row>
    <row r="148" spans="1:52" x14ac:dyDescent="0.2">
      <c r="A148" s="25"/>
      <c r="B148" s="25"/>
      <c r="C148" s="25"/>
      <c r="D148" s="25"/>
      <c r="E148" s="25"/>
      <c r="F148" s="25"/>
      <c r="G148" s="25"/>
      <c r="H148" s="25"/>
      <c r="I148" s="25"/>
      <c r="J148" s="25"/>
      <c r="K148" s="25"/>
      <c r="L148" s="25"/>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c r="AQ148" s="27"/>
      <c r="AR148" s="27"/>
      <c r="AS148" s="27"/>
      <c r="AT148" s="27"/>
      <c r="AU148" s="27"/>
      <c r="AV148" s="27"/>
      <c r="AW148" s="27"/>
      <c r="AX148" s="27"/>
      <c r="AY148" s="27"/>
      <c r="AZ148" s="27"/>
    </row>
    <row r="149" spans="1:52" x14ac:dyDescent="0.2">
      <c r="A149" s="25"/>
      <c r="B149" s="25"/>
      <c r="C149" s="25"/>
      <c r="D149" s="25"/>
      <c r="E149" s="25"/>
      <c r="F149" s="25"/>
      <c r="G149" s="25"/>
      <c r="H149" s="25"/>
      <c r="I149" s="25"/>
      <c r="J149" s="25"/>
      <c r="K149" s="25"/>
      <c r="L149" s="25"/>
      <c r="M149" s="27"/>
      <c r="N149" s="27"/>
      <c r="O149" s="27"/>
      <c r="P149" s="27"/>
      <c r="Q149" s="27"/>
      <c r="R149" s="27"/>
      <c r="S149" s="27"/>
      <c r="T149" s="27"/>
      <c r="U149" s="27"/>
      <c r="V149" s="27"/>
      <c r="W149" s="27"/>
      <c r="X149" s="27"/>
      <c r="Y149" s="27"/>
      <c r="Z149" s="27"/>
      <c r="AA149" s="27"/>
      <c r="AB149" s="27"/>
      <c r="AC149" s="27"/>
      <c r="AD149" s="27"/>
      <c r="AE149" s="27"/>
      <c r="AF149" s="27"/>
      <c r="AG149" s="27"/>
      <c r="AH149" s="27"/>
      <c r="AI149" s="27"/>
      <c r="AJ149" s="27"/>
      <c r="AK149" s="27"/>
      <c r="AL149" s="27"/>
      <c r="AM149" s="27"/>
      <c r="AN149" s="27"/>
      <c r="AO149" s="27"/>
      <c r="AP149" s="27"/>
      <c r="AQ149" s="27"/>
      <c r="AR149" s="27"/>
      <c r="AS149" s="27"/>
      <c r="AT149" s="27"/>
      <c r="AU149" s="27"/>
      <c r="AV149" s="27"/>
      <c r="AW149" s="27"/>
      <c r="AX149" s="27"/>
      <c r="AY149" s="27"/>
      <c r="AZ149" s="27"/>
    </row>
    <row r="150" spans="1:52" x14ac:dyDescent="0.2">
      <c r="A150" s="25"/>
      <c r="B150" s="25"/>
      <c r="C150" s="25"/>
      <c r="D150" s="25"/>
      <c r="E150" s="25"/>
      <c r="F150" s="25"/>
      <c r="G150" s="25"/>
      <c r="H150" s="25"/>
      <c r="I150" s="25"/>
      <c r="J150" s="25"/>
      <c r="K150" s="25"/>
      <c r="L150" s="25"/>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c r="AY150" s="27"/>
      <c r="AZ150" s="27"/>
    </row>
    <row r="151" spans="1:52" x14ac:dyDescent="0.2">
      <c r="A151" s="25"/>
      <c r="B151" s="25"/>
      <c r="C151" s="25"/>
      <c r="D151" s="25"/>
      <c r="E151" s="25"/>
      <c r="F151" s="25"/>
      <c r="G151" s="25"/>
      <c r="H151" s="25"/>
      <c r="I151" s="25"/>
      <c r="J151" s="25"/>
      <c r="K151" s="25"/>
      <c r="L151" s="25"/>
      <c r="M151" s="27"/>
      <c r="N151" s="27"/>
      <c r="O151" s="27"/>
      <c r="P151" s="27"/>
      <c r="Q151" s="27"/>
      <c r="R151" s="27"/>
      <c r="S151" s="27"/>
      <c r="T151" s="27"/>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c r="AQ151" s="27"/>
      <c r="AR151" s="27"/>
      <c r="AS151" s="27"/>
      <c r="AT151" s="27"/>
      <c r="AU151" s="27"/>
      <c r="AV151" s="27"/>
      <c r="AW151" s="27"/>
      <c r="AX151" s="27"/>
      <c r="AY151" s="27"/>
      <c r="AZ151" s="27"/>
    </row>
    <row r="152" spans="1:52" x14ac:dyDescent="0.2">
      <c r="A152" s="25"/>
      <c r="B152" s="25"/>
      <c r="C152" s="25"/>
      <c r="D152" s="25"/>
      <c r="E152" s="25"/>
      <c r="F152" s="25"/>
      <c r="G152" s="25"/>
      <c r="H152" s="25"/>
      <c r="I152" s="25"/>
      <c r="J152" s="25"/>
      <c r="K152" s="25"/>
      <c r="L152" s="25"/>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7"/>
      <c r="AV152" s="27"/>
      <c r="AW152" s="27"/>
      <c r="AX152" s="27"/>
      <c r="AY152" s="27"/>
      <c r="AZ152" s="27"/>
    </row>
    <row r="153" spans="1:52" x14ac:dyDescent="0.2">
      <c r="A153" s="25"/>
      <c r="B153" s="25"/>
      <c r="C153" s="25"/>
      <c r="D153" s="25"/>
      <c r="E153" s="25"/>
      <c r="F153" s="25"/>
      <c r="G153" s="25"/>
      <c r="H153" s="25"/>
      <c r="I153" s="25"/>
      <c r="J153" s="25"/>
      <c r="K153" s="25"/>
      <c r="L153" s="25"/>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c r="AT153" s="27"/>
      <c r="AU153" s="27"/>
      <c r="AV153" s="27"/>
      <c r="AW153" s="27"/>
      <c r="AX153" s="27"/>
      <c r="AY153" s="27"/>
      <c r="AZ153" s="27"/>
    </row>
    <row r="154" spans="1:52" x14ac:dyDescent="0.2">
      <c r="A154" s="25"/>
      <c r="B154" s="25"/>
      <c r="C154" s="25"/>
      <c r="D154" s="25"/>
      <c r="E154" s="25"/>
      <c r="F154" s="25"/>
      <c r="G154" s="25"/>
      <c r="H154" s="25"/>
      <c r="I154" s="25"/>
      <c r="J154" s="25"/>
      <c r="K154" s="25"/>
      <c r="L154" s="25"/>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c r="AQ154" s="27"/>
      <c r="AR154" s="27"/>
      <c r="AS154" s="27"/>
      <c r="AT154" s="27"/>
      <c r="AU154" s="27"/>
      <c r="AV154" s="27"/>
      <c r="AW154" s="27"/>
      <c r="AX154" s="27"/>
      <c r="AY154" s="27"/>
      <c r="AZ154" s="27"/>
    </row>
    <row r="155" spans="1:52" x14ac:dyDescent="0.2">
      <c r="A155" s="25"/>
      <c r="B155" s="25"/>
      <c r="C155" s="25"/>
      <c r="D155" s="25"/>
      <c r="E155" s="25"/>
      <c r="F155" s="25"/>
      <c r="G155" s="25"/>
      <c r="H155" s="25"/>
      <c r="I155" s="25"/>
      <c r="J155" s="25"/>
      <c r="K155" s="25"/>
      <c r="L155" s="25"/>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c r="AQ155" s="27"/>
      <c r="AR155" s="27"/>
      <c r="AS155" s="27"/>
      <c r="AT155" s="27"/>
      <c r="AU155" s="27"/>
      <c r="AV155" s="27"/>
      <c r="AW155" s="27"/>
      <c r="AX155" s="27"/>
      <c r="AY155" s="27"/>
      <c r="AZ155" s="27"/>
    </row>
    <row r="156" spans="1:52" x14ac:dyDescent="0.2">
      <c r="A156" s="25"/>
      <c r="B156" s="25"/>
      <c r="C156" s="25"/>
      <c r="D156" s="25"/>
      <c r="E156" s="25"/>
      <c r="F156" s="25"/>
      <c r="G156" s="25"/>
      <c r="H156" s="25"/>
      <c r="I156" s="25"/>
      <c r="J156" s="25"/>
      <c r="K156" s="25"/>
      <c r="L156" s="25"/>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c r="AT156" s="27"/>
      <c r="AU156" s="27"/>
      <c r="AV156" s="27"/>
      <c r="AW156" s="27"/>
      <c r="AX156" s="27"/>
      <c r="AY156" s="27"/>
      <c r="AZ156" s="27"/>
    </row>
    <row r="157" spans="1:52" x14ac:dyDescent="0.2">
      <c r="A157" s="25"/>
      <c r="B157" s="25"/>
      <c r="C157" s="25"/>
      <c r="D157" s="25"/>
      <c r="E157" s="25"/>
      <c r="F157" s="25"/>
      <c r="G157" s="25"/>
      <c r="H157" s="25"/>
      <c r="I157" s="25"/>
      <c r="J157" s="25"/>
      <c r="K157" s="25"/>
      <c r="L157" s="25"/>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27"/>
      <c r="AJ157" s="27"/>
      <c r="AK157" s="27"/>
      <c r="AL157" s="27"/>
      <c r="AM157" s="27"/>
      <c r="AN157" s="27"/>
      <c r="AO157" s="27"/>
      <c r="AP157" s="27"/>
      <c r="AQ157" s="27"/>
      <c r="AR157" s="27"/>
      <c r="AS157" s="27"/>
      <c r="AT157" s="27"/>
      <c r="AU157" s="27"/>
      <c r="AV157" s="27"/>
      <c r="AW157" s="27"/>
      <c r="AX157" s="27"/>
      <c r="AY157" s="27"/>
      <c r="AZ157" s="27"/>
    </row>
    <row r="158" spans="1:52" x14ac:dyDescent="0.2">
      <c r="A158" s="25"/>
      <c r="B158" s="25"/>
      <c r="C158" s="25"/>
      <c r="D158" s="25"/>
      <c r="E158" s="25"/>
      <c r="F158" s="25"/>
      <c r="G158" s="25"/>
      <c r="H158" s="25"/>
      <c r="I158" s="25"/>
      <c r="J158" s="25"/>
      <c r="K158" s="25"/>
      <c r="L158" s="25"/>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c r="AJ158" s="27"/>
      <c r="AK158" s="27"/>
      <c r="AL158" s="27"/>
      <c r="AM158" s="27"/>
      <c r="AN158" s="27"/>
      <c r="AO158" s="27"/>
      <c r="AP158" s="27"/>
      <c r="AQ158" s="27"/>
      <c r="AR158" s="27"/>
      <c r="AS158" s="27"/>
      <c r="AT158" s="27"/>
      <c r="AU158" s="27"/>
      <c r="AV158" s="27"/>
      <c r="AW158" s="27"/>
      <c r="AX158" s="27"/>
      <c r="AY158" s="27"/>
      <c r="AZ158" s="27"/>
    </row>
    <row r="159" spans="1:52" x14ac:dyDescent="0.2">
      <c r="A159" s="25"/>
      <c r="B159" s="25"/>
      <c r="C159" s="25"/>
      <c r="D159" s="25"/>
      <c r="E159" s="25"/>
      <c r="F159" s="25"/>
      <c r="G159" s="25"/>
      <c r="H159" s="25"/>
      <c r="I159" s="25"/>
      <c r="J159" s="25"/>
      <c r="K159" s="25"/>
      <c r="L159" s="25"/>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7"/>
      <c r="AO159" s="27"/>
      <c r="AP159" s="27"/>
      <c r="AQ159" s="27"/>
      <c r="AR159" s="27"/>
      <c r="AS159" s="27"/>
      <c r="AT159" s="27"/>
      <c r="AU159" s="27"/>
      <c r="AV159" s="27"/>
      <c r="AW159" s="27"/>
      <c r="AX159" s="27"/>
      <c r="AY159" s="27"/>
      <c r="AZ159" s="27"/>
    </row>
    <row r="160" spans="1:52" x14ac:dyDescent="0.2">
      <c r="A160" s="25"/>
      <c r="B160" s="25"/>
      <c r="C160" s="25"/>
      <c r="D160" s="25"/>
      <c r="E160" s="25"/>
      <c r="F160" s="25"/>
      <c r="G160" s="25"/>
      <c r="H160" s="25"/>
      <c r="I160" s="25"/>
      <c r="J160" s="25"/>
      <c r="K160" s="25"/>
      <c r="L160" s="25"/>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c r="AP160" s="27"/>
      <c r="AQ160" s="27"/>
      <c r="AR160" s="27"/>
      <c r="AS160" s="27"/>
      <c r="AT160" s="27"/>
      <c r="AU160" s="27"/>
      <c r="AV160" s="27"/>
      <c r="AW160" s="27"/>
      <c r="AX160" s="27"/>
      <c r="AY160" s="27"/>
      <c r="AZ160" s="27"/>
    </row>
    <row r="161" spans="1:52" x14ac:dyDescent="0.2">
      <c r="A161" s="25"/>
      <c r="B161" s="25"/>
      <c r="C161" s="25"/>
      <c r="D161" s="25"/>
      <c r="E161" s="25"/>
      <c r="F161" s="25"/>
      <c r="G161" s="25"/>
      <c r="H161" s="25"/>
      <c r="I161" s="25"/>
      <c r="J161" s="25"/>
      <c r="K161" s="25"/>
      <c r="L161" s="25"/>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27"/>
      <c r="AJ161" s="27"/>
      <c r="AK161" s="27"/>
      <c r="AL161" s="27"/>
      <c r="AM161" s="27"/>
      <c r="AN161" s="27"/>
      <c r="AO161" s="27"/>
      <c r="AP161" s="27"/>
      <c r="AQ161" s="27"/>
      <c r="AR161" s="27"/>
      <c r="AS161" s="27"/>
      <c r="AT161" s="27"/>
      <c r="AU161" s="27"/>
      <c r="AV161" s="27"/>
      <c r="AW161" s="27"/>
      <c r="AX161" s="27"/>
      <c r="AY161" s="27"/>
      <c r="AZ161" s="27"/>
    </row>
    <row r="162" spans="1:52" x14ac:dyDescent="0.2">
      <c r="A162" s="25"/>
      <c r="B162" s="25"/>
      <c r="C162" s="25"/>
      <c r="D162" s="25"/>
      <c r="E162" s="25"/>
      <c r="F162" s="25"/>
      <c r="G162" s="25"/>
      <c r="H162" s="25"/>
      <c r="I162" s="25"/>
      <c r="J162" s="25"/>
      <c r="K162" s="25"/>
      <c r="L162" s="25"/>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c r="AK162" s="27"/>
      <c r="AL162" s="27"/>
      <c r="AM162" s="27"/>
      <c r="AN162" s="27"/>
      <c r="AO162" s="27"/>
      <c r="AP162" s="27"/>
      <c r="AQ162" s="27"/>
      <c r="AR162" s="27"/>
      <c r="AS162" s="27"/>
      <c r="AT162" s="27"/>
      <c r="AU162" s="27"/>
      <c r="AV162" s="27"/>
      <c r="AW162" s="27"/>
      <c r="AX162" s="27"/>
      <c r="AY162" s="27"/>
      <c r="AZ162" s="27"/>
    </row>
    <row r="163" spans="1:52" x14ac:dyDescent="0.2">
      <c r="A163" s="25"/>
      <c r="B163" s="25"/>
      <c r="C163" s="25"/>
      <c r="D163" s="25"/>
      <c r="E163" s="25"/>
      <c r="F163" s="25"/>
      <c r="G163" s="25"/>
      <c r="H163" s="25"/>
      <c r="I163" s="25"/>
      <c r="J163" s="25"/>
      <c r="K163" s="25"/>
      <c r="L163" s="25"/>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c r="AP163" s="27"/>
      <c r="AQ163" s="27"/>
      <c r="AR163" s="27"/>
      <c r="AS163" s="27"/>
      <c r="AT163" s="27"/>
      <c r="AU163" s="27"/>
      <c r="AV163" s="27"/>
      <c r="AW163" s="27"/>
      <c r="AX163" s="27"/>
      <c r="AY163" s="27"/>
      <c r="AZ163" s="27"/>
    </row>
    <row r="164" spans="1:52" x14ac:dyDescent="0.2">
      <c r="A164" s="25"/>
      <c r="B164" s="25"/>
      <c r="C164" s="25"/>
      <c r="D164" s="25"/>
      <c r="E164" s="25"/>
      <c r="F164" s="25"/>
      <c r="G164" s="25"/>
      <c r="H164" s="25"/>
      <c r="I164" s="25"/>
      <c r="J164" s="25"/>
      <c r="K164" s="25"/>
      <c r="L164" s="25"/>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27"/>
      <c r="AJ164" s="27"/>
      <c r="AK164" s="27"/>
      <c r="AL164" s="27"/>
      <c r="AM164" s="27"/>
      <c r="AN164" s="27"/>
      <c r="AO164" s="27"/>
      <c r="AP164" s="27"/>
      <c r="AQ164" s="27"/>
      <c r="AR164" s="27"/>
      <c r="AS164" s="27"/>
      <c r="AT164" s="27"/>
      <c r="AU164" s="27"/>
      <c r="AV164" s="27"/>
      <c r="AW164" s="27"/>
      <c r="AX164" s="27"/>
      <c r="AY164" s="27"/>
      <c r="AZ164" s="27"/>
    </row>
    <row r="165" spans="1:52" x14ac:dyDescent="0.2">
      <c r="A165" s="25"/>
      <c r="B165" s="25"/>
      <c r="C165" s="25"/>
      <c r="D165" s="25"/>
      <c r="E165" s="25"/>
      <c r="F165" s="25"/>
      <c r="G165" s="25"/>
      <c r="H165" s="25"/>
      <c r="I165" s="25"/>
      <c r="J165" s="25"/>
      <c r="K165" s="25"/>
      <c r="L165" s="25"/>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c r="AP165" s="27"/>
      <c r="AQ165" s="27"/>
      <c r="AR165" s="27"/>
      <c r="AS165" s="27"/>
      <c r="AT165" s="27"/>
      <c r="AU165" s="27"/>
      <c r="AV165" s="27"/>
      <c r="AW165" s="27"/>
      <c r="AX165" s="27"/>
      <c r="AY165" s="27"/>
      <c r="AZ165" s="27"/>
    </row>
    <row r="166" spans="1:52" x14ac:dyDescent="0.2">
      <c r="A166" s="25"/>
      <c r="B166" s="25"/>
      <c r="C166" s="25"/>
      <c r="D166" s="25"/>
      <c r="E166" s="25"/>
      <c r="F166" s="25"/>
      <c r="G166" s="25"/>
      <c r="H166" s="25"/>
      <c r="I166" s="25"/>
      <c r="J166" s="25"/>
      <c r="K166" s="25"/>
      <c r="L166" s="25"/>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row>
    <row r="167" spans="1:52" x14ac:dyDescent="0.2">
      <c r="A167" s="25"/>
      <c r="B167" s="25"/>
      <c r="C167" s="25"/>
      <c r="D167" s="25"/>
      <c r="E167" s="25"/>
      <c r="F167" s="25"/>
      <c r="G167" s="25"/>
      <c r="H167" s="25"/>
      <c r="I167" s="25"/>
      <c r="J167" s="25"/>
      <c r="K167" s="25"/>
      <c r="L167" s="25"/>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c r="AU167" s="27"/>
      <c r="AV167" s="27"/>
      <c r="AW167" s="27"/>
      <c r="AX167" s="27"/>
      <c r="AY167" s="27"/>
      <c r="AZ167" s="27"/>
    </row>
    <row r="168" spans="1:52" x14ac:dyDescent="0.2">
      <c r="A168" s="25"/>
      <c r="B168" s="25"/>
      <c r="C168" s="25"/>
      <c r="D168" s="25"/>
      <c r="E168" s="25"/>
      <c r="F168" s="25"/>
      <c r="G168" s="25"/>
      <c r="H168" s="25"/>
      <c r="I168" s="25"/>
      <c r="J168" s="25"/>
      <c r="K168" s="25"/>
      <c r="L168" s="25"/>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c r="AY168" s="27"/>
      <c r="AZ168" s="27"/>
    </row>
    <row r="169" spans="1:52" x14ac:dyDescent="0.2">
      <c r="A169" s="25"/>
      <c r="B169" s="25"/>
      <c r="C169" s="25"/>
      <c r="D169" s="25"/>
      <c r="E169" s="25"/>
      <c r="F169" s="25"/>
      <c r="G169" s="25"/>
      <c r="H169" s="25"/>
      <c r="I169" s="25"/>
      <c r="J169" s="25"/>
      <c r="K169" s="25"/>
      <c r="L169" s="25"/>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c r="AP169" s="27"/>
      <c r="AQ169" s="27"/>
      <c r="AR169" s="27"/>
      <c r="AS169" s="27"/>
      <c r="AT169" s="27"/>
      <c r="AU169" s="27"/>
      <c r="AV169" s="27"/>
      <c r="AW169" s="27"/>
      <c r="AX169" s="27"/>
      <c r="AY169" s="27"/>
      <c r="AZ169" s="27"/>
    </row>
    <row r="170" spans="1:52" x14ac:dyDescent="0.2">
      <c r="A170" s="25"/>
      <c r="B170" s="25"/>
      <c r="C170" s="25"/>
      <c r="D170" s="25"/>
      <c r="E170" s="25"/>
      <c r="F170" s="25"/>
      <c r="G170" s="25"/>
      <c r="H170" s="25"/>
      <c r="I170" s="25"/>
      <c r="J170" s="25"/>
      <c r="K170" s="25"/>
      <c r="L170" s="25"/>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27"/>
      <c r="AJ170" s="27"/>
      <c r="AK170" s="27"/>
      <c r="AL170" s="27"/>
      <c r="AM170" s="27"/>
      <c r="AN170" s="27"/>
      <c r="AO170" s="27"/>
      <c r="AP170" s="27"/>
      <c r="AQ170" s="27"/>
      <c r="AR170" s="27"/>
      <c r="AS170" s="27"/>
      <c r="AT170" s="27"/>
      <c r="AU170" s="27"/>
      <c r="AV170" s="27"/>
      <c r="AW170" s="27"/>
      <c r="AX170" s="27"/>
      <c r="AY170" s="27"/>
      <c r="AZ170" s="27"/>
    </row>
    <row r="171" spans="1:52" x14ac:dyDescent="0.2">
      <c r="A171" s="25"/>
      <c r="B171" s="25"/>
      <c r="C171" s="25"/>
      <c r="D171" s="25"/>
      <c r="E171" s="25"/>
      <c r="F171" s="25"/>
      <c r="G171" s="25"/>
      <c r="H171" s="25"/>
      <c r="I171" s="25"/>
      <c r="J171" s="25"/>
      <c r="K171" s="25"/>
      <c r="L171" s="25"/>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c r="AU171" s="27"/>
      <c r="AV171" s="27"/>
      <c r="AW171" s="27"/>
      <c r="AX171" s="27"/>
      <c r="AY171" s="27"/>
      <c r="AZ171" s="27"/>
    </row>
    <row r="172" spans="1:52" x14ac:dyDescent="0.2">
      <c r="A172" s="25"/>
      <c r="B172" s="25"/>
      <c r="C172" s="25"/>
      <c r="D172" s="25"/>
      <c r="E172" s="25"/>
      <c r="F172" s="25"/>
      <c r="G172" s="25"/>
      <c r="H172" s="25"/>
      <c r="I172" s="25"/>
      <c r="J172" s="25"/>
      <c r="K172" s="25"/>
      <c r="L172" s="25"/>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c r="AJ172" s="27"/>
      <c r="AK172" s="27"/>
      <c r="AL172" s="27"/>
      <c r="AM172" s="27"/>
      <c r="AN172" s="27"/>
      <c r="AO172" s="27"/>
      <c r="AP172" s="27"/>
      <c r="AQ172" s="27"/>
      <c r="AR172" s="27"/>
      <c r="AS172" s="27"/>
      <c r="AT172" s="27"/>
      <c r="AU172" s="27"/>
      <c r="AV172" s="27"/>
      <c r="AW172" s="27"/>
      <c r="AX172" s="27"/>
      <c r="AY172" s="27"/>
      <c r="AZ172" s="27"/>
    </row>
    <row r="173" spans="1:52" x14ac:dyDescent="0.2">
      <c r="A173" s="25"/>
      <c r="B173" s="25"/>
      <c r="C173" s="25"/>
      <c r="D173" s="25"/>
      <c r="E173" s="25"/>
      <c r="F173" s="25"/>
      <c r="G173" s="25"/>
      <c r="H173" s="25"/>
      <c r="I173" s="25"/>
      <c r="J173" s="25"/>
      <c r="K173" s="25"/>
      <c r="L173" s="25"/>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c r="AY173" s="27"/>
      <c r="AZ173" s="27"/>
    </row>
    <row r="174" spans="1:52" x14ac:dyDescent="0.2">
      <c r="A174" s="25"/>
      <c r="B174" s="25"/>
      <c r="C174" s="25"/>
      <c r="D174" s="25"/>
      <c r="E174" s="25"/>
      <c r="F174" s="25"/>
      <c r="G174" s="25"/>
      <c r="H174" s="25"/>
      <c r="I174" s="25"/>
      <c r="J174" s="25"/>
      <c r="K174" s="25"/>
      <c r="L174" s="25"/>
      <c r="M174" s="27"/>
      <c r="N174" s="27"/>
      <c r="O174" s="27"/>
      <c r="P174" s="27"/>
      <c r="Q174" s="27"/>
      <c r="R174" s="27"/>
      <c r="S174" s="27"/>
      <c r="T174" s="27"/>
      <c r="U174" s="27"/>
      <c r="V174" s="27"/>
      <c r="W174" s="27"/>
      <c r="X174" s="27"/>
      <c r="Y174" s="27"/>
      <c r="Z174" s="27"/>
      <c r="AA174" s="27"/>
      <c r="AB174" s="27"/>
      <c r="AC174" s="27"/>
      <c r="AD174" s="27"/>
      <c r="AE174" s="27"/>
      <c r="AF174" s="27"/>
      <c r="AG174" s="27"/>
      <c r="AH174" s="27"/>
      <c r="AI174" s="27"/>
      <c r="AJ174" s="27"/>
      <c r="AK174" s="27"/>
      <c r="AL174" s="27"/>
      <c r="AM174" s="27"/>
      <c r="AN174" s="27"/>
      <c r="AO174" s="27"/>
      <c r="AP174" s="27"/>
      <c r="AQ174" s="27"/>
      <c r="AR174" s="27"/>
      <c r="AS174" s="27"/>
      <c r="AT174" s="27"/>
      <c r="AU174" s="27"/>
      <c r="AV174" s="27"/>
      <c r="AW174" s="27"/>
      <c r="AX174" s="27"/>
      <c r="AY174" s="27"/>
      <c r="AZ174" s="27"/>
    </row>
    <row r="175" spans="1:52" x14ac:dyDescent="0.2">
      <c r="A175" s="25"/>
      <c r="B175" s="25"/>
      <c r="C175" s="25"/>
      <c r="D175" s="25"/>
      <c r="E175" s="25"/>
      <c r="F175" s="25"/>
      <c r="G175" s="25"/>
      <c r="H175" s="25"/>
      <c r="I175" s="25"/>
      <c r="J175" s="25"/>
      <c r="K175" s="25"/>
      <c r="L175" s="25"/>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c r="AY175" s="27"/>
      <c r="AZ175" s="27"/>
    </row>
    <row r="176" spans="1:52" x14ac:dyDescent="0.2">
      <c r="A176" s="25"/>
      <c r="B176" s="25"/>
      <c r="C176" s="25"/>
      <c r="D176" s="25"/>
      <c r="E176" s="25"/>
      <c r="F176" s="25"/>
      <c r="G176" s="25"/>
      <c r="H176" s="25"/>
      <c r="I176" s="25"/>
      <c r="J176" s="25"/>
      <c r="K176" s="25"/>
      <c r="L176" s="25"/>
      <c r="M176" s="27"/>
      <c r="N176" s="27"/>
      <c r="O176" s="27"/>
      <c r="P176" s="27"/>
      <c r="Q176" s="27"/>
      <c r="R176" s="27"/>
      <c r="S176" s="27"/>
      <c r="T176" s="27"/>
      <c r="U176" s="27"/>
      <c r="V176" s="27"/>
      <c r="W176" s="27"/>
      <c r="X176" s="27"/>
      <c r="Y176" s="27"/>
      <c r="Z176" s="27"/>
      <c r="AA176" s="27"/>
      <c r="AB176" s="27"/>
      <c r="AC176" s="27"/>
      <c r="AD176" s="27"/>
      <c r="AE176" s="27"/>
      <c r="AF176" s="27"/>
      <c r="AG176" s="27"/>
      <c r="AH176" s="27"/>
      <c r="AI176" s="27"/>
      <c r="AJ176" s="27"/>
      <c r="AK176" s="27"/>
      <c r="AL176" s="27"/>
      <c r="AM176" s="27"/>
      <c r="AN176" s="27"/>
      <c r="AO176" s="27"/>
      <c r="AP176" s="27"/>
      <c r="AQ176" s="27"/>
      <c r="AR176" s="27"/>
      <c r="AS176" s="27"/>
      <c r="AT176" s="27"/>
      <c r="AU176" s="27"/>
      <c r="AV176" s="27"/>
      <c r="AW176" s="27"/>
      <c r="AX176" s="27"/>
      <c r="AY176" s="27"/>
      <c r="AZ176" s="27"/>
    </row>
    <row r="177" spans="1:52" x14ac:dyDescent="0.2">
      <c r="A177" s="25"/>
      <c r="B177" s="25"/>
      <c r="C177" s="25"/>
      <c r="D177" s="25"/>
      <c r="E177" s="25"/>
      <c r="F177" s="25"/>
      <c r="G177" s="25"/>
      <c r="H177" s="25"/>
      <c r="I177" s="25"/>
      <c r="J177" s="25"/>
      <c r="K177" s="25"/>
      <c r="L177" s="25"/>
      <c r="M177" s="27"/>
      <c r="N177" s="27"/>
      <c r="O177" s="27"/>
      <c r="P177" s="27"/>
      <c r="Q177" s="27"/>
      <c r="R177" s="27"/>
      <c r="S177" s="27"/>
      <c r="T177" s="27"/>
      <c r="U177" s="27"/>
      <c r="V177" s="27"/>
      <c r="W177" s="27"/>
      <c r="X177" s="27"/>
      <c r="Y177" s="27"/>
      <c r="Z177" s="27"/>
      <c r="AA177" s="27"/>
      <c r="AB177" s="27"/>
      <c r="AC177" s="27"/>
      <c r="AD177" s="27"/>
      <c r="AE177" s="27"/>
      <c r="AF177" s="27"/>
      <c r="AG177" s="27"/>
      <c r="AH177" s="27"/>
      <c r="AI177" s="27"/>
      <c r="AJ177" s="27"/>
      <c r="AK177" s="27"/>
      <c r="AL177" s="27"/>
      <c r="AM177" s="27"/>
      <c r="AN177" s="27"/>
      <c r="AO177" s="27"/>
      <c r="AP177" s="27"/>
      <c r="AQ177" s="27"/>
      <c r="AR177" s="27"/>
      <c r="AS177" s="27"/>
      <c r="AT177" s="27"/>
      <c r="AU177" s="27"/>
      <c r="AV177" s="27"/>
      <c r="AW177" s="27"/>
      <c r="AX177" s="27"/>
      <c r="AY177" s="27"/>
      <c r="AZ177" s="27"/>
    </row>
    <row r="178" spans="1:52" x14ac:dyDescent="0.2">
      <c r="A178" s="25"/>
      <c r="B178" s="25"/>
      <c r="C178" s="25"/>
      <c r="D178" s="25"/>
      <c r="E178" s="25"/>
      <c r="F178" s="25"/>
      <c r="G178" s="25"/>
      <c r="H178" s="25"/>
      <c r="I178" s="25"/>
      <c r="J178" s="25"/>
      <c r="K178" s="25"/>
      <c r="L178" s="25"/>
      <c r="M178" s="27"/>
      <c r="N178" s="27"/>
      <c r="O178" s="27"/>
      <c r="P178" s="27"/>
      <c r="Q178" s="27"/>
      <c r="R178" s="27"/>
      <c r="S178" s="27"/>
      <c r="T178" s="27"/>
      <c r="U178" s="27"/>
      <c r="V178" s="27"/>
      <c r="W178" s="27"/>
      <c r="X178" s="27"/>
      <c r="Y178" s="27"/>
      <c r="Z178" s="27"/>
      <c r="AA178" s="27"/>
      <c r="AB178" s="27"/>
      <c r="AC178" s="27"/>
      <c r="AD178" s="27"/>
      <c r="AE178" s="27"/>
      <c r="AF178" s="27"/>
      <c r="AG178" s="27"/>
      <c r="AH178" s="27"/>
      <c r="AI178" s="27"/>
      <c r="AJ178" s="27"/>
      <c r="AK178" s="27"/>
      <c r="AL178" s="27"/>
      <c r="AM178" s="27"/>
      <c r="AN178" s="27"/>
      <c r="AO178" s="27"/>
      <c r="AP178" s="27"/>
      <c r="AQ178" s="27"/>
      <c r="AR178" s="27"/>
      <c r="AS178" s="27"/>
      <c r="AT178" s="27"/>
      <c r="AU178" s="27"/>
      <c r="AV178" s="27"/>
      <c r="AW178" s="27"/>
      <c r="AX178" s="27"/>
      <c r="AY178" s="27"/>
      <c r="AZ178" s="27"/>
    </row>
    <row r="179" spans="1:52" x14ac:dyDescent="0.2">
      <c r="A179" s="25"/>
      <c r="B179" s="25"/>
      <c r="C179" s="25"/>
      <c r="D179" s="25"/>
      <c r="E179" s="25"/>
      <c r="F179" s="25"/>
      <c r="G179" s="25"/>
      <c r="H179" s="25"/>
      <c r="I179" s="25"/>
      <c r="J179" s="25"/>
      <c r="K179" s="25"/>
      <c r="L179" s="25"/>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c r="AY179" s="27"/>
      <c r="AZ179" s="27"/>
    </row>
    <row r="180" spans="1:52" x14ac:dyDescent="0.2">
      <c r="A180" s="25"/>
      <c r="B180" s="25"/>
      <c r="C180" s="25"/>
      <c r="D180" s="25"/>
      <c r="E180" s="25"/>
      <c r="F180" s="25"/>
      <c r="G180" s="25"/>
      <c r="H180" s="25"/>
      <c r="I180" s="25"/>
      <c r="J180" s="25"/>
      <c r="K180" s="25"/>
      <c r="L180" s="25"/>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c r="AP180" s="27"/>
      <c r="AQ180" s="27"/>
      <c r="AR180" s="27"/>
      <c r="AS180" s="27"/>
      <c r="AT180" s="27"/>
      <c r="AU180" s="27"/>
      <c r="AV180" s="27"/>
      <c r="AW180" s="27"/>
      <c r="AX180" s="27"/>
      <c r="AY180" s="27"/>
      <c r="AZ180" s="27"/>
    </row>
    <row r="181" spans="1:52" x14ac:dyDescent="0.2">
      <c r="A181" s="25"/>
      <c r="B181" s="25"/>
      <c r="C181" s="25"/>
      <c r="D181" s="25"/>
      <c r="E181" s="25"/>
      <c r="F181" s="25"/>
      <c r="G181" s="25"/>
      <c r="H181" s="25"/>
      <c r="I181" s="25"/>
      <c r="J181" s="25"/>
      <c r="K181" s="25"/>
      <c r="L181" s="25"/>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c r="AY181" s="27"/>
      <c r="AZ181" s="27"/>
    </row>
    <row r="182" spans="1:52" x14ac:dyDescent="0.2">
      <c r="A182" s="25"/>
      <c r="B182" s="25"/>
      <c r="C182" s="25"/>
      <c r="D182" s="25"/>
      <c r="E182" s="25"/>
      <c r="F182" s="25"/>
      <c r="G182" s="25"/>
      <c r="H182" s="25"/>
      <c r="I182" s="25"/>
      <c r="J182" s="25"/>
      <c r="K182" s="25"/>
      <c r="L182" s="25"/>
      <c r="M182" s="27"/>
      <c r="N182" s="27"/>
      <c r="O182" s="27"/>
      <c r="P182" s="27"/>
      <c r="Q182" s="27"/>
      <c r="R182" s="27"/>
      <c r="S182" s="27"/>
      <c r="T182" s="27"/>
      <c r="U182" s="27"/>
      <c r="V182" s="27"/>
      <c r="W182" s="27"/>
      <c r="X182" s="27"/>
      <c r="Y182" s="27"/>
      <c r="Z182" s="27"/>
      <c r="AA182" s="27"/>
      <c r="AB182" s="27"/>
      <c r="AC182" s="27"/>
      <c r="AD182" s="27"/>
      <c r="AE182" s="27"/>
      <c r="AF182" s="27"/>
      <c r="AG182" s="27"/>
      <c r="AH182" s="27"/>
      <c r="AI182" s="27"/>
      <c r="AJ182" s="27"/>
      <c r="AK182" s="27"/>
      <c r="AL182" s="27"/>
      <c r="AM182" s="27"/>
      <c r="AN182" s="27"/>
      <c r="AO182" s="27"/>
      <c r="AP182" s="27"/>
      <c r="AQ182" s="27"/>
      <c r="AR182" s="27"/>
      <c r="AS182" s="27"/>
      <c r="AT182" s="27"/>
      <c r="AU182" s="27"/>
      <c r="AV182" s="27"/>
      <c r="AW182" s="27"/>
      <c r="AX182" s="27"/>
      <c r="AY182" s="27"/>
      <c r="AZ182" s="27"/>
    </row>
    <row r="183" spans="1:52" x14ac:dyDescent="0.2">
      <c r="A183" s="25"/>
      <c r="B183" s="25"/>
      <c r="C183" s="25"/>
      <c r="D183" s="25"/>
      <c r="E183" s="25"/>
      <c r="F183" s="25"/>
      <c r="G183" s="25"/>
      <c r="H183" s="25"/>
      <c r="I183" s="25"/>
      <c r="J183" s="25"/>
      <c r="K183" s="25"/>
      <c r="L183" s="25"/>
      <c r="M183" s="27"/>
      <c r="N183" s="27"/>
      <c r="O183" s="27"/>
      <c r="P183" s="27"/>
      <c r="Q183" s="27"/>
      <c r="R183" s="27"/>
      <c r="S183" s="27"/>
      <c r="T183" s="27"/>
      <c r="U183" s="27"/>
      <c r="V183" s="27"/>
      <c r="W183" s="27"/>
      <c r="X183" s="27"/>
      <c r="Y183" s="27"/>
      <c r="Z183" s="27"/>
      <c r="AA183" s="27"/>
      <c r="AB183" s="27"/>
      <c r="AC183" s="27"/>
      <c r="AD183" s="27"/>
      <c r="AE183" s="27"/>
      <c r="AF183" s="27"/>
      <c r="AG183" s="27"/>
      <c r="AH183" s="27"/>
      <c r="AI183" s="27"/>
      <c r="AJ183" s="27"/>
      <c r="AK183" s="27"/>
      <c r="AL183" s="27"/>
      <c r="AM183" s="27"/>
      <c r="AN183" s="27"/>
      <c r="AO183" s="27"/>
      <c r="AP183" s="27"/>
      <c r="AQ183" s="27"/>
      <c r="AR183" s="27"/>
      <c r="AS183" s="27"/>
      <c r="AT183" s="27"/>
      <c r="AU183" s="27"/>
      <c r="AV183" s="27"/>
      <c r="AW183" s="27"/>
      <c r="AX183" s="27"/>
      <c r="AY183" s="27"/>
      <c r="AZ183" s="27"/>
    </row>
    <row r="184" spans="1:52" x14ac:dyDescent="0.2">
      <c r="A184" s="25"/>
      <c r="B184" s="25"/>
      <c r="C184" s="25"/>
      <c r="D184" s="25"/>
      <c r="E184" s="25"/>
      <c r="F184" s="25"/>
      <c r="G184" s="25"/>
      <c r="H184" s="25"/>
      <c r="I184" s="25"/>
      <c r="J184" s="25"/>
      <c r="K184" s="25"/>
      <c r="L184" s="25"/>
      <c r="M184" s="27"/>
      <c r="N184" s="27"/>
      <c r="O184" s="27"/>
      <c r="P184" s="27"/>
      <c r="Q184" s="27"/>
      <c r="R184" s="27"/>
      <c r="S184" s="27"/>
      <c r="T184" s="27"/>
      <c r="U184" s="27"/>
      <c r="V184" s="27"/>
      <c r="W184" s="27"/>
      <c r="X184" s="27"/>
      <c r="Y184" s="27"/>
      <c r="Z184" s="27"/>
      <c r="AA184" s="27"/>
      <c r="AB184" s="27"/>
      <c r="AC184" s="27"/>
      <c r="AD184" s="27"/>
      <c r="AE184" s="27"/>
      <c r="AF184" s="27"/>
      <c r="AG184" s="27"/>
      <c r="AH184" s="27"/>
      <c r="AI184" s="27"/>
      <c r="AJ184" s="27"/>
      <c r="AK184" s="27"/>
      <c r="AL184" s="27"/>
      <c r="AM184" s="27"/>
      <c r="AN184" s="27"/>
      <c r="AO184" s="27"/>
      <c r="AP184" s="27"/>
      <c r="AQ184" s="27"/>
      <c r="AR184" s="27"/>
      <c r="AS184" s="27"/>
      <c r="AT184" s="27"/>
      <c r="AU184" s="27"/>
      <c r="AV184" s="27"/>
      <c r="AW184" s="27"/>
      <c r="AX184" s="27"/>
      <c r="AY184" s="27"/>
      <c r="AZ184" s="27"/>
    </row>
    <row r="185" spans="1:52" x14ac:dyDescent="0.2">
      <c r="A185" s="25"/>
      <c r="B185" s="25"/>
      <c r="C185" s="25"/>
      <c r="D185" s="25"/>
      <c r="E185" s="25"/>
      <c r="F185" s="25"/>
      <c r="G185" s="25"/>
      <c r="H185" s="25"/>
      <c r="I185" s="25"/>
      <c r="J185" s="25"/>
      <c r="K185" s="25"/>
      <c r="L185" s="25"/>
      <c r="M185" s="27"/>
      <c r="N185" s="27"/>
      <c r="O185" s="27"/>
      <c r="P185" s="27"/>
      <c r="Q185" s="27"/>
      <c r="R185" s="27"/>
      <c r="S185" s="27"/>
      <c r="T185" s="27"/>
      <c r="U185" s="27"/>
      <c r="V185" s="27"/>
      <c r="W185" s="27"/>
      <c r="X185" s="27"/>
      <c r="Y185" s="27"/>
      <c r="Z185" s="27"/>
      <c r="AA185" s="27"/>
      <c r="AB185" s="27"/>
      <c r="AC185" s="27"/>
      <c r="AD185" s="27"/>
      <c r="AE185" s="27"/>
      <c r="AF185" s="27"/>
      <c r="AG185" s="27"/>
      <c r="AH185" s="27"/>
      <c r="AI185" s="27"/>
      <c r="AJ185" s="27"/>
      <c r="AK185" s="27"/>
      <c r="AL185" s="27"/>
      <c r="AM185" s="27"/>
      <c r="AN185" s="27"/>
      <c r="AO185" s="27"/>
      <c r="AP185" s="27"/>
      <c r="AQ185" s="27"/>
      <c r="AR185" s="27"/>
      <c r="AS185" s="27"/>
      <c r="AT185" s="27"/>
      <c r="AU185" s="27"/>
      <c r="AV185" s="27"/>
      <c r="AW185" s="27"/>
      <c r="AX185" s="27"/>
      <c r="AY185" s="27"/>
      <c r="AZ185" s="27"/>
    </row>
    <row r="186" spans="1:52" x14ac:dyDescent="0.2">
      <c r="A186" s="25"/>
      <c r="B186" s="25"/>
      <c r="C186" s="25"/>
      <c r="D186" s="25"/>
      <c r="E186" s="25"/>
      <c r="F186" s="25"/>
      <c r="G186" s="25"/>
      <c r="H186" s="25"/>
      <c r="I186" s="25"/>
      <c r="J186" s="25"/>
      <c r="K186" s="25"/>
      <c r="L186" s="25"/>
      <c r="M186" s="27"/>
      <c r="N186" s="27"/>
      <c r="O186" s="27"/>
      <c r="P186" s="27"/>
      <c r="Q186" s="27"/>
      <c r="R186" s="27"/>
      <c r="S186" s="27"/>
      <c r="T186" s="27"/>
      <c r="U186" s="27"/>
      <c r="V186" s="27"/>
      <c r="W186" s="27"/>
      <c r="X186" s="27"/>
      <c r="Y186" s="27"/>
      <c r="Z186" s="27"/>
      <c r="AA186" s="27"/>
      <c r="AB186" s="27"/>
      <c r="AC186" s="27"/>
      <c r="AD186" s="27"/>
      <c r="AE186" s="27"/>
      <c r="AF186" s="27"/>
      <c r="AG186" s="27"/>
      <c r="AH186" s="27"/>
      <c r="AI186" s="27"/>
      <c r="AJ186" s="27"/>
      <c r="AK186" s="27"/>
      <c r="AL186" s="27"/>
      <c r="AM186" s="27"/>
      <c r="AN186" s="27"/>
      <c r="AO186" s="27"/>
      <c r="AP186" s="27"/>
      <c r="AQ186" s="27"/>
      <c r="AR186" s="27"/>
      <c r="AS186" s="27"/>
      <c r="AT186" s="27"/>
      <c r="AU186" s="27"/>
      <c r="AV186" s="27"/>
      <c r="AW186" s="27"/>
      <c r="AX186" s="27"/>
      <c r="AY186" s="27"/>
      <c r="AZ186" s="27"/>
    </row>
    <row r="187" spans="1:52" x14ac:dyDescent="0.2">
      <c r="A187" s="25"/>
      <c r="B187" s="25"/>
      <c r="C187" s="25"/>
      <c r="D187" s="25"/>
      <c r="E187" s="25"/>
      <c r="F187" s="25"/>
      <c r="G187" s="25"/>
      <c r="H187" s="25"/>
      <c r="I187" s="25"/>
      <c r="J187" s="25"/>
      <c r="K187" s="25"/>
      <c r="L187" s="25"/>
      <c r="M187" s="27"/>
      <c r="N187" s="27"/>
      <c r="O187" s="27"/>
      <c r="P187" s="27"/>
      <c r="Q187" s="27"/>
      <c r="R187" s="27"/>
      <c r="S187" s="27"/>
      <c r="T187" s="27"/>
      <c r="U187" s="27"/>
      <c r="V187" s="27"/>
      <c r="W187" s="27"/>
      <c r="X187" s="27"/>
      <c r="Y187" s="27"/>
      <c r="Z187" s="27"/>
      <c r="AA187" s="27"/>
      <c r="AB187" s="27"/>
      <c r="AC187" s="27"/>
      <c r="AD187" s="27"/>
      <c r="AE187" s="27"/>
      <c r="AF187" s="27"/>
      <c r="AG187" s="27"/>
      <c r="AH187" s="27"/>
      <c r="AI187" s="27"/>
      <c r="AJ187" s="27"/>
      <c r="AK187" s="27"/>
      <c r="AL187" s="27"/>
      <c r="AM187" s="27"/>
      <c r="AN187" s="27"/>
      <c r="AO187" s="27"/>
      <c r="AP187" s="27"/>
      <c r="AQ187" s="27"/>
      <c r="AR187" s="27"/>
      <c r="AS187" s="27"/>
      <c r="AT187" s="27"/>
      <c r="AU187" s="27"/>
      <c r="AV187" s="27"/>
      <c r="AW187" s="27"/>
      <c r="AX187" s="27"/>
      <c r="AY187" s="27"/>
      <c r="AZ187" s="27"/>
    </row>
    <row r="188" spans="1:52" x14ac:dyDescent="0.2">
      <c r="A188" s="25"/>
      <c r="B188" s="25"/>
      <c r="C188" s="25"/>
      <c r="D188" s="25"/>
      <c r="E188" s="25"/>
      <c r="F188" s="25"/>
      <c r="G188" s="25"/>
      <c r="H188" s="25"/>
      <c r="I188" s="25"/>
      <c r="J188" s="25"/>
      <c r="K188" s="25"/>
      <c r="L188" s="25"/>
      <c r="M188" s="27"/>
      <c r="N188" s="27"/>
      <c r="O188" s="27"/>
      <c r="P188" s="27"/>
      <c r="Q188" s="27"/>
      <c r="R188" s="27"/>
      <c r="S188" s="27"/>
      <c r="T188" s="27"/>
      <c r="U188" s="27"/>
      <c r="V188" s="27"/>
      <c r="W188" s="27"/>
      <c r="X188" s="27"/>
      <c r="Y188" s="27"/>
      <c r="Z188" s="27"/>
      <c r="AA188" s="27"/>
      <c r="AB188" s="27"/>
      <c r="AC188" s="27"/>
      <c r="AD188" s="27"/>
      <c r="AE188" s="27"/>
      <c r="AF188" s="27"/>
      <c r="AG188" s="27"/>
      <c r="AH188" s="27"/>
      <c r="AI188" s="27"/>
      <c r="AJ188" s="27"/>
      <c r="AK188" s="27"/>
      <c r="AL188" s="27"/>
      <c r="AM188" s="27"/>
      <c r="AN188" s="27"/>
      <c r="AO188" s="27"/>
      <c r="AP188" s="27"/>
      <c r="AQ188" s="27"/>
      <c r="AR188" s="27"/>
      <c r="AS188" s="27"/>
      <c r="AT188" s="27"/>
      <c r="AU188" s="27"/>
      <c r="AV188" s="27"/>
      <c r="AW188" s="27"/>
      <c r="AX188" s="27"/>
      <c r="AY188" s="27"/>
      <c r="AZ188" s="27"/>
    </row>
    <row r="189" spans="1:52" x14ac:dyDescent="0.2">
      <c r="A189" s="25"/>
      <c r="B189" s="25"/>
      <c r="C189" s="25"/>
      <c r="D189" s="25"/>
      <c r="E189" s="25"/>
      <c r="F189" s="25"/>
      <c r="G189" s="25"/>
      <c r="H189" s="25"/>
      <c r="I189" s="25"/>
      <c r="J189" s="25"/>
      <c r="K189" s="25"/>
      <c r="L189" s="25"/>
      <c r="M189" s="27"/>
      <c r="N189" s="27"/>
      <c r="O189" s="27"/>
      <c r="P189" s="27"/>
      <c r="Q189" s="27"/>
      <c r="R189" s="27"/>
      <c r="S189" s="27"/>
      <c r="T189" s="27"/>
      <c r="U189" s="27"/>
      <c r="V189" s="27"/>
      <c r="W189" s="27"/>
      <c r="X189" s="27"/>
      <c r="Y189" s="27"/>
      <c r="Z189" s="27"/>
      <c r="AA189" s="27"/>
      <c r="AB189" s="27"/>
      <c r="AC189" s="27"/>
      <c r="AD189" s="27"/>
      <c r="AE189" s="27"/>
      <c r="AF189" s="27"/>
      <c r="AG189" s="27"/>
      <c r="AH189" s="27"/>
      <c r="AI189" s="27"/>
      <c r="AJ189" s="27"/>
      <c r="AK189" s="27"/>
      <c r="AL189" s="27"/>
      <c r="AM189" s="27"/>
      <c r="AN189" s="27"/>
      <c r="AO189" s="27"/>
      <c r="AP189" s="27"/>
      <c r="AQ189" s="27"/>
      <c r="AR189" s="27"/>
      <c r="AS189" s="27"/>
      <c r="AT189" s="27"/>
      <c r="AU189" s="27"/>
      <c r="AV189" s="27"/>
      <c r="AW189" s="27"/>
      <c r="AX189" s="27"/>
      <c r="AY189" s="27"/>
      <c r="AZ189" s="27"/>
    </row>
    <row r="190" spans="1:52" x14ac:dyDescent="0.2">
      <c r="A190" s="25"/>
      <c r="B190" s="25"/>
      <c r="C190" s="25"/>
      <c r="D190" s="25"/>
      <c r="E190" s="25"/>
      <c r="F190" s="25"/>
      <c r="G190" s="25"/>
      <c r="H190" s="25"/>
      <c r="I190" s="25"/>
      <c r="J190" s="25"/>
      <c r="K190" s="25"/>
      <c r="L190" s="25"/>
      <c r="M190" s="27"/>
      <c r="N190" s="27"/>
      <c r="O190" s="27"/>
      <c r="P190" s="27"/>
      <c r="Q190" s="27"/>
      <c r="R190" s="27"/>
      <c r="S190" s="27"/>
      <c r="T190" s="27"/>
      <c r="U190" s="27"/>
      <c r="V190" s="27"/>
      <c r="W190" s="27"/>
      <c r="X190" s="27"/>
      <c r="Y190" s="27"/>
      <c r="Z190" s="27"/>
      <c r="AA190" s="27"/>
      <c r="AB190" s="27"/>
      <c r="AC190" s="27"/>
      <c r="AD190" s="27"/>
      <c r="AE190" s="27"/>
      <c r="AF190" s="27"/>
      <c r="AG190" s="27"/>
      <c r="AH190" s="27"/>
      <c r="AI190" s="27"/>
      <c r="AJ190" s="27"/>
      <c r="AK190" s="27"/>
      <c r="AL190" s="27"/>
      <c r="AM190" s="27"/>
      <c r="AN190" s="27"/>
      <c r="AO190" s="27"/>
      <c r="AP190" s="27"/>
      <c r="AQ190" s="27"/>
      <c r="AR190" s="27"/>
      <c r="AS190" s="27"/>
      <c r="AT190" s="27"/>
      <c r="AU190" s="27"/>
      <c r="AV190" s="27"/>
      <c r="AW190" s="27"/>
      <c r="AX190" s="27"/>
      <c r="AY190" s="27"/>
      <c r="AZ190" s="27"/>
    </row>
    <row r="191" spans="1:52" x14ac:dyDescent="0.2">
      <c r="A191" s="25"/>
      <c r="B191" s="25"/>
      <c r="C191" s="25"/>
      <c r="D191" s="25"/>
      <c r="E191" s="25"/>
      <c r="F191" s="25"/>
      <c r="G191" s="25"/>
      <c r="H191" s="25"/>
      <c r="I191" s="25"/>
      <c r="J191" s="25"/>
      <c r="K191" s="25"/>
      <c r="L191" s="25"/>
      <c r="M191" s="27"/>
      <c r="N191" s="27"/>
      <c r="O191" s="27"/>
      <c r="P191" s="27"/>
      <c r="Q191" s="27"/>
      <c r="R191" s="27"/>
      <c r="S191" s="27"/>
      <c r="T191" s="27"/>
      <c r="U191" s="27"/>
      <c r="V191" s="27"/>
      <c r="W191" s="27"/>
      <c r="X191" s="27"/>
      <c r="Y191" s="27"/>
      <c r="Z191" s="27"/>
      <c r="AA191" s="27"/>
      <c r="AB191" s="27"/>
      <c r="AC191" s="27"/>
      <c r="AD191" s="27"/>
      <c r="AE191" s="27"/>
      <c r="AF191" s="27"/>
      <c r="AG191" s="27"/>
      <c r="AH191" s="27"/>
      <c r="AI191" s="27"/>
      <c r="AJ191" s="27"/>
      <c r="AK191" s="27"/>
      <c r="AL191" s="27"/>
      <c r="AM191" s="27"/>
      <c r="AN191" s="27"/>
      <c r="AO191" s="27"/>
      <c r="AP191" s="27"/>
      <c r="AQ191" s="27"/>
      <c r="AR191" s="27"/>
      <c r="AS191" s="27"/>
      <c r="AT191" s="27"/>
      <c r="AU191" s="27"/>
      <c r="AV191" s="27"/>
      <c r="AW191" s="27"/>
      <c r="AX191" s="27"/>
      <c r="AY191" s="27"/>
      <c r="AZ191" s="27"/>
    </row>
    <row r="192" spans="1:52" x14ac:dyDescent="0.2">
      <c r="A192" s="25"/>
      <c r="B192" s="25"/>
      <c r="C192" s="25"/>
      <c r="D192" s="25"/>
      <c r="E192" s="25"/>
      <c r="F192" s="25"/>
      <c r="G192" s="25"/>
      <c r="H192" s="25"/>
      <c r="I192" s="25"/>
      <c r="J192" s="25"/>
      <c r="K192" s="25"/>
      <c r="L192" s="25"/>
      <c r="M192" s="27"/>
      <c r="N192" s="27"/>
      <c r="O192" s="27"/>
      <c r="P192" s="27"/>
      <c r="Q192" s="27"/>
      <c r="R192" s="27"/>
      <c r="S192" s="27"/>
      <c r="T192" s="27"/>
      <c r="U192" s="27"/>
      <c r="V192" s="27"/>
      <c r="W192" s="27"/>
      <c r="X192" s="27"/>
      <c r="Y192" s="27"/>
      <c r="Z192" s="27"/>
      <c r="AA192" s="27"/>
      <c r="AB192" s="27"/>
      <c r="AC192" s="27"/>
      <c r="AD192" s="27"/>
      <c r="AE192" s="27"/>
      <c r="AF192" s="27"/>
      <c r="AG192" s="27"/>
      <c r="AH192" s="27"/>
      <c r="AI192" s="27"/>
      <c r="AJ192" s="27"/>
      <c r="AK192" s="27"/>
      <c r="AL192" s="27"/>
      <c r="AM192" s="27"/>
      <c r="AN192" s="27"/>
      <c r="AO192" s="27"/>
      <c r="AP192" s="27"/>
      <c r="AQ192" s="27"/>
      <c r="AR192" s="27"/>
      <c r="AS192" s="27"/>
      <c r="AT192" s="27"/>
      <c r="AU192" s="27"/>
      <c r="AV192" s="27"/>
      <c r="AW192" s="27"/>
      <c r="AX192" s="27"/>
      <c r="AY192" s="27"/>
      <c r="AZ192" s="27"/>
    </row>
    <row r="193" spans="1:52" x14ac:dyDescent="0.2">
      <c r="A193" s="25"/>
      <c r="B193" s="25"/>
      <c r="C193" s="25"/>
      <c r="D193" s="25"/>
      <c r="E193" s="25"/>
      <c r="F193" s="25"/>
      <c r="G193" s="25"/>
      <c r="H193" s="25"/>
      <c r="I193" s="25"/>
      <c r="J193" s="25"/>
      <c r="K193" s="25"/>
      <c r="L193" s="25"/>
      <c r="M193" s="27"/>
      <c r="N193" s="27"/>
      <c r="O193" s="27"/>
      <c r="P193" s="27"/>
      <c r="Q193" s="27"/>
      <c r="R193" s="27"/>
      <c r="S193" s="27"/>
      <c r="T193" s="27"/>
      <c r="U193" s="27"/>
      <c r="V193" s="27"/>
      <c r="W193" s="27"/>
      <c r="X193" s="27"/>
      <c r="Y193" s="27"/>
      <c r="Z193" s="27"/>
      <c r="AA193" s="27"/>
      <c r="AB193" s="27"/>
      <c r="AC193" s="27"/>
      <c r="AD193" s="27"/>
      <c r="AE193" s="27"/>
      <c r="AF193" s="27"/>
      <c r="AG193" s="27"/>
      <c r="AH193" s="27"/>
      <c r="AI193" s="27"/>
      <c r="AJ193" s="27"/>
      <c r="AK193" s="27"/>
      <c r="AL193" s="27"/>
      <c r="AM193" s="27"/>
      <c r="AN193" s="27"/>
      <c r="AO193" s="27"/>
      <c r="AP193" s="27"/>
      <c r="AQ193" s="27"/>
      <c r="AR193" s="27"/>
      <c r="AS193" s="27"/>
      <c r="AT193" s="27"/>
      <c r="AU193" s="27"/>
      <c r="AV193" s="27"/>
      <c r="AW193" s="27"/>
      <c r="AX193" s="27"/>
      <c r="AY193" s="27"/>
      <c r="AZ193" s="27"/>
    </row>
    <row r="194" spans="1:52" x14ac:dyDescent="0.2">
      <c r="A194" s="25"/>
      <c r="B194" s="25"/>
      <c r="C194" s="25"/>
      <c r="D194" s="25"/>
      <c r="E194" s="25"/>
      <c r="F194" s="25"/>
      <c r="G194" s="25"/>
      <c r="H194" s="25"/>
      <c r="I194" s="25"/>
      <c r="J194" s="25"/>
      <c r="K194" s="25"/>
      <c r="L194" s="25"/>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7"/>
      <c r="AV194" s="27"/>
      <c r="AW194" s="27"/>
      <c r="AX194" s="27"/>
      <c r="AY194" s="27"/>
      <c r="AZ194" s="27"/>
    </row>
    <row r="195" spans="1:52" x14ac:dyDescent="0.2">
      <c r="A195" s="25"/>
      <c r="B195" s="25"/>
      <c r="C195" s="25"/>
      <c r="D195" s="25"/>
      <c r="E195" s="25"/>
      <c r="F195" s="25"/>
      <c r="G195" s="25"/>
      <c r="H195" s="25"/>
      <c r="I195" s="25"/>
      <c r="J195" s="25"/>
      <c r="K195" s="25"/>
      <c r="L195" s="25"/>
      <c r="M195" s="27"/>
      <c r="N195" s="27"/>
      <c r="O195" s="27"/>
      <c r="P195" s="27"/>
      <c r="Q195" s="27"/>
      <c r="R195" s="27"/>
      <c r="S195" s="27"/>
      <c r="T195" s="27"/>
      <c r="U195" s="27"/>
      <c r="V195" s="27"/>
      <c r="W195" s="27"/>
      <c r="X195" s="27"/>
      <c r="Y195" s="27"/>
      <c r="Z195" s="27"/>
      <c r="AA195" s="27"/>
      <c r="AB195" s="27"/>
      <c r="AC195" s="27"/>
      <c r="AD195" s="27"/>
      <c r="AE195" s="27"/>
      <c r="AF195" s="27"/>
      <c r="AG195" s="27"/>
      <c r="AH195" s="27"/>
      <c r="AI195" s="27"/>
      <c r="AJ195" s="27"/>
      <c r="AK195" s="27"/>
      <c r="AL195" s="27"/>
      <c r="AM195" s="27"/>
      <c r="AN195" s="27"/>
      <c r="AO195" s="27"/>
      <c r="AP195" s="27"/>
      <c r="AQ195" s="27"/>
      <c r="AR195" s="27"/>
      <c r="AS195" s="27"/>
      <c r="AT195" s="27"/>
      <c r="AU195" s="27"/>
      <c r="AV195" s="27"/>
      <c r="AW195" s="27"/>
      <c r="AX195" s="27"/>
      <c r="AY195" s="27"/>
      <c r="AZ195" s="27"/>
    </row>
    <row r="196" spans="1:52" x14ac:dyDescent="0.2">
      <c r="A196" s="25"/>
      <c r="B196" s="25"/>
      <c r="C196" s="25"/>
      <c r="D196" s="25"/>
      <c r="E196" s="25"/>
      <c r="F196" s="25"/>
      <c r="G196" s="25"/>
      <c r="H196" s="25"/>
      <c r="I196" s="25"/>
      <c r="J196" s="25"/>
      <c r="K196" s="25"/>
      <c r="L196" s="25"/>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c r="AY196" s="27"/>
      <c r="AZ196" s="27"/>
    </row>
    <row r="197" spans="1:52" x14ac:dyDescent="0.2">
      <c r="A197" s="25"/>
      <c r="B197" s="25"/>
      <c r="C197" s="25"/>
      <c r="D197" s="25"/>
      <c r="E197" s="25"/>
      <c r="F197" s="25"/>
      <c r="G197" s="25"/>
      <c r="H197" s="25"/>
      <c r="I197" s="25"/>
      <c r="J197" s="25"/>
      <c r="K197" s="25"/>
      <c r="L197" s="25"/>
      <c r="M197" s="27"/>
      <c r="N197" s="27"/>
      <c r="O197" s="27"/>
      <c r="P197" s="27"/>
      <c r="Q197" s="27"/>
      <c r="R197" s="27"/>
      <c r="S197" s="27"/>
      <c r="T197" s="27"/>
      <c r="U197" s="27"/>
      <c r="V197" s="27"/>
      <c r="W197" s="27"/>
      <c r="X197" s="27"/>
      <c r="Y197" s="27"/>
      <c r="Z197" s="27"/>
      <c r="AA197" s="27"/>
      <c r="AB197" s="27"/>
      <c r="AC197" s="27"/>
      <c r="AD197" s="27"/>
      <c r="AE197" s="27"/>
      <c r="AF197" s="27"/>
      <c r="AG197" s="27"/>
      <c r="AH197" s="27"/>
      <c r="AI197" s="27"/>
      <c r="AJ197" s="27"/>
      <c r="AK197" s="27"/>
      <c r="AL197" s="27"/>
      <c r="AM197" s="27"/>
      <c r="AN197" s="27"/>
      <c r="AO197" s="27"/>
      <c r="AP197" s="27"/>
      <c r="AQ197" s="27"/>
      <c r="AR197" s="27"/>
      <c r="AS197" s="27"/>
      <c r="AT197" s="27"/>
      <c r="AU197" s="27"/>
      <c r="AV197" s="27"/>
      <c r="AW197" s="27"/>
      <c r="AX197" s="27"/>
      <c r="AY197" s="27"/>
      <c r="AZ197" s="27"/>
    </row>
    <row r="198" spans="1:52" x14ac:dyDescent="0.2">
      <c r="A198" s="25"/>
      <c r="B198" s="25"/>
      <c r="C198" s="25"/>
      <c r="D198" s="25"/>
      <c r="E198" s="25"/>
      <c r="F198" s="25"/>
      <c r="G198" s="25"/>
      <c r="H198" s="25"/>
      <c r="I198" s="25"/>
      <c r="J198" s="25"/>
      <c r="K198" s="25"/>
      <c r="L198" s="25"/>
      <c r="M198" s="27"/>
      <c r="N198" s="27"/>
      <c r="O198" s="27"/>
      <c r="P198" s="27"/>
      <c r="Q198" s="27"/>
      <c r="R198" s="27"/>
      <c r="S198" s="27"/>
      <c r="T198" s="27"/>
      <c r="U198" s="27"/>
      <c r="V198" s="27"/>
      <c r="W198" s="27"/>
      <c r="X198" s="27"/>
      <c r="Y198" s="27"/>
      <c r="Z198" s="27"/>
      <c r="AA198" s="27"/>
      <c r="AB198" s="27"/>
      <c r="AC198" s="27"/>
      <c r="AD198" s="27"/>
      <c r="AE198" s="27"/>
      <c r="AF198" s="27"/>
      <c r="AG198" s="27"/>
      <c r="AH198" s="27"/>
      <c r="AI198" s="27"/>
      <c r="AJ198" s="27"/>
      <c r="AK198" s="27"/>
      <c r="AL198" s="27"/>
      <c r="AM198" s="27"/>
      <c r="AN198" s="27"/>
      <c r="AO198" s="27"/>
      <c r="AP198" s="27"/>
      <c r="AQ198" s="27"/>
      <c r="AR198" s="27"/>
      <c r="AS198" s="27"/>
      <c r="AT198" s="27"/>
      <c r="AU198" s="27"/>
      <c r="AV198" s="27"/>
      <c r="AW198" s="27"/>
      <c r="AX198" s="27"/>
      <c r="AY198" s="27"/>
      <c r="AZ198" s="27"/>
    </row>
    <row r="199" spans="1:52" x14ac:dyDescent="0.2">
      <c r="A199" s="25"/>
      <c r="B199" s="25"/>
      <c r="C199" s="25"/>
      <c r="D199" s="25"/>
      <c r="E199" s="25"/>
      <c r="F199" s="25"/>
      <c r="G199" s="25"/>
      <c r="H199" s="25"/>
      <c r="I199" s="25"/>
      <c r="J199" s="25"/>
      <c r="K199" s="25"/>
      <c r="L199" s="25"/>
      <c r="M199" s="27"/>
      <c r="N199" s="27"/>
      <c r="O199" s="27"/>
      <c r="P199" s="27"/>
      <c r="Q199" s="27"/>
      <c r="R199" s="27"/>
      <c r="S199" s="27"/>
      <c r="T199" s="27"/>
      <c r="U199" s="27"/>
      <c r="V199" s="27"/>
      <c r="W199" s="27"/>
      <c r="X199" s="27"/>
      <c r="Y199" s="27"/>
      <c r="Z199" s="27"/>
      <c r="AA199" s="27"/>
      <c r="AB199" s="27"/>
      <c r="AC199" s="27"/>
      <c r="AD199" s="27"/>
      <c r="AE199" s="27"/>
      <c r="AF199" s="27"/>
      <c r="AG199" s="27"/>
      <c r="AH199" s="27"/>
      <c r="AI199" s="27"/>
      <c r="AJ199" s="27"/>
      <c r="AK199" s="27"/>
      <c r="AL199" s="27"/>
      <c r="AM199" s="27"/>
      <c r="AN199" s="27"/>
      <c r="AO199" s="27"/>
      <c r="AP199" s="27"/>
      <c r="AQ199" s="27"/>
      <c r="AR199" s="27"/>
      <c r="AS199" s="27"/>
      <c r="AT199" s="27"/>
      <c r="AU199" s="27"/>
      <c r="AV199" s="27"/>
      <c r="AW199" s="27"/>
      <c r="AX199" s="27"/>
      <c r="AY199" s="27"/>
      <c r="AZ199" s="27"/>
    </row>
  </sheetData>
  <sheetProtection password="F49C" sheet="1" objects="1" scenarios="1" formatCells="0" formatColumns="0" formatRows="0" insertColumns="0" insertRows="0" insertHyperlinks="0" deleteColumns="0" deleteRows="0" selectLockedCells="1" sort="0" autoFilter="0" pivotTables="0"/>
  <mergeCells count="5">
    <mergeCell ref="A2:L3"/>
    <mergeCell ref="A4:L5"/>
    <mergeCell ref="A7:L88"/>
    <mergeCell ref="A1:F1"/>
    <mergeCell ref="G1:L1"/>
  </mergeCells>
  <conditionalFormatting sqref="A2:L5">
    <cfRule type="expression" dxfId="0" priority="1">
      <formula>$A$1=""</formula>
    </cfRule>
  </conditionalFormatting>
  <hyperlinks>
    <hyperlink ref="G1" r:id="rId1" display="For more budgeting help, visit MyMoneyCoach.ca"/>
    <hyperlink ref="G1:L1" r:id="rId2" display="http://www.mymoneycoach.ca/budgeting/how-to-budget-your-money-bcal"/>
  </hyperlinks>
  <pageMargins left="0.43307086614173229" right="0.43307086614173229" top="0.74803149606299213" bottom="0.74803149606299213" header="0.31496062992125984" footer="0.31496062992125984"/>
  <pageSetup scale="90"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Budget Calculator Spreadsheet</vt:lpstr>
      <vt:lpstr>More</vt:lpstr>
      <vt:lpstr>Income</vt:lpstr>
      <vt:lpstr>IT</vt:lpstr>
      <vt:lpstr>ITips</vt:lpstr>
      <vt:lpstr>'Budget Calculator Spreadsheet'!Print_Area</vt:lpstr>
      <vt:lpstr>More!Print_Area</vt:lpstr>
    </vt:vector>
  </TitlesOfParts>
  <Company>Credit Counselling Society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Budget Calculator Spreadsheet</dc:title>
  <dc:subject>Track Monthly Spending</dc:subject>
  <dc:creator>Credit Counselling Society</dc:creator>
  <cp:keywords>Student Budget Calculator Spreadsheet</cp:keywords>
  <cp:lastModifiedBy>Josh Hunt</cp:lastModifiedBy>
  <cp:lastPrinted>2019-01-08T18:03:33Z</cp:lastPrinted>
  <dcterms:created xsi:type="dcterms:W3CDTF">2001-05-18T00:29:33Z</dcterms:created>
  <dcterms:modified xsi:type="dcterms:W3CDTF">2019-01-08T18:04:28Z</dcterms:modified>
  <cp:category>Student Budget Calculator Spreadsheet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TC062062791033</vt:lpwstr>
  </property>
</Properties>
</file>